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hoang\OneDrive\Máy tính\Du toan de an du lich cong dong Huu Liên\"/>
    </mc:Choice>
  </mc:AlternateContent>
  <xr:revisionPtr revIDLastSave="0" documentId="8_{95618DA0-E29D-48AF-BE9D-543C699CE6A3}" xr6:coauthVersionLast="47" xr6:coauthVersionMax="47" xr10:uidLastSave="{00000000-0000-0000-0000-000000000000}"/>
  <bookViews>
    <workbookView xWindow="7200" yWindow="4185" windowWidth="21600" windowHeight="11295" tabRatio="822" activeTab="12" xr2:uid="{00000000-000D-0000-FFFF-FFFF00000000}"/>
  </bookViews>
  <sheets>
    <sheet name="Tiên lượng" sheetId="1" r:id="rId1"/>
    <sheet name="Giá VL" sheetId="2" r:id="rId2"/>
    <sheet name="THVL" sheetId="3" r:id="rId3"/>
    <sheet name="Cước ô tô" sheetId="4" state="hidden" r:id="rId4"/>
    <sheet name="Cước ô tô mới" sheetId="5" r:id="rId5"/>
    <sheet name="CauHinh_0" sheetId="6" state="hidden" r:id="rId6"/>
    <sheet name="Cước sông" sheetId="7" state="hidden" r:id="rId7"/>
    <sheet name="Cước TC" sheetId="8" state="hidden" r:id="rId8"/>
    <sheet name="Giá NC" sheetId="9" r:id="rId9"/>
    <sheet name="THNC" sheetId="10" r:id="rId10"/>
    <sheet name="Tính giá NC" sheetId="11" state="hidden" r:id="rId11"/>
    <sheet name="Giá Máy" sheetId="12" r:id="rId12"/>
    <sheet name="THM" sheetId="13" r:id="rId13"/>
    <sheet name="Bù giá CM" sheetId="14" state="hidden" r:id="rId14"/>
    <sheet name="Tính giá CM" sheetId="15" state="hidden" r:id="rId15"/>
    <sheet name="THNL" sheetId="16" state="hidden" r:id="rId16"/>
    <sheet name="THTL" sheetId="17" state="hidden" r:id="rId17"/>
    <sheet name="THKPHM" sheetId="18" r:id="rId18"/>
    <sheet name="THKP_TT16" sheetId="19" state="hidden" r:id="rId19"/>
    <sheet name="Chiết tính" sheetId="20" state="hidden" r:id="rId20"/>
    <sheet name="ĐGTH" sheetId="21" r:id="rId21"/>
    <sheet name="TỔNG MỨC ĐẦU TƯ" sheetId="48" r:id="rId22"/>
    <sheet name="Tổng hợp VT" sheetId="22" state="hidden" r:id="rId23"/>
    <sheet name="Tổng hợp VT công trình" sheetId="23" state="hidden" r:id="rId24"/>
    <sheet name="GGTXD" sheetId="24" state="hidden" r:id="rId25"/>
    <sheet name="PTVT" sheetId="25" state="hidden" r:id="rId26"/>
    <sheet name="THDGDT" sheetId="26" state="hidden" r:id="rId27"/>
    <sheet name="THCPXD" sheetId="27" state="hidden" r:id="rId28"/>
    <sheet name="THCPTB" sheetId="28" state="hidden" r:id="rId29"/>
    <sheet name="HM chung" sheetId="29" state="hidden" r:id="rId30"/>
    <sheet name="Bìa ngoài" sheetId="30" state="hidden" r:id="rId31"/>
    <sheet name="Bìa trong" sheetId="31" state="hidden" r:id="rId32"/>
    <sheet name="Thuyết minh" sheetId="32" state="hidden" r:id="rId33"/>
    <sheet name="Thông tin" sheetId="33" state="hidden" r:id="rId34"/>
    <sheet name="Nội suy" sheetId="34" state="hidden" r:id="rId35"/>
    <sheet name="Hệ số" sheetId="35" state="hidden" r:id="rId36"/>
    <sheet name="Chiết tính rút gọn" sheetId="36" state="hidden" r:id="rId37"/>
    <sheet name="ĐGTH rút gọn" sheetId="37" state="hidden" r:id="rId38"/>
    <sheet name="Giá vữa" sheetId="38" state="hidden" r:id="rId39"/>
    <sheet name="Trượt giá" sheetId="39" state="hidden" r:id="rId40"/>
    <sheet name="Tra định mức" sheetId="40" state="hidden" r:id="rId41"/>
    <sheet name="QT_03a_ND254" sheetId="41" state="hidden" r:id="rId42"/>
    <sheet name="QT_PL08b" sheetId="42" state="hidden" r:id="rId43"/>
    <sheet name="QT_PL03a" sheetId="43" state="hidden" r:id="rId44"/>
    <sheet name="QT_PL03b" sheetId="44" state="hidden" r:id="rId45"/>
    <sheet name="QT_PL04" sheetId="45" state="hidden" r:id="rId46"/>
    <sheet name="QT_PL05" sheetId="46" state="hidden" r:id="rId47"/>
    <sheet name="QT_PL06" sheetId="47" state="hidden" r:id="rId48"/>
  </sheets>
  <externalReferences>
    <externalReference r:id="rId49"/>
    <externalReference r:id="rId50"/>
    <externalReference r:id="rId51"/>
  </externalReferences>
  <definedNames>
    <definedName name="BocLen">[1]CauHinh!$M$75:$M$87</definedName>
    <definedName name="BocXuong">[1]CauHinh!$N$79:$N$87</definedName>
    <definedName name="capCongTrinh">'Tra định mức'!$B$229:$B$233</definedName>
    <definedName name="loaiCongTrinh">'Tra định mức'!$B$48:$B$52</definedName>
    <definedName name="LoaiDuongs">[1]CauHinh!$B$1:$G$1</definedName>
    <definedName name="loaiThietKe">'Tra định mức'!$W$228:$W$230</definedName>
    <definedName name="nhomHang">[1]CauHinh!$H$17:$H$30</definedName>
    <definedName name="PhuongTiens">[1]CauHinh!$C$7:$C$13</definedName>
    <definedName name="_xlnm.Print_Area" localSheetId="13">'Bù giá CM'!$A$1:$M$3</definedName>
    <definedName name="_xlnm.Print_Area" localSheetId="24">GGTXD!$B:$H</definedName>
    <definedName name="_xlnm.Print_Area" localSheetId="18">THKP_TT16!$A:$H</definedName>
    <definedName name="_xlnm.Print_Area" localSheetId="12">THM!$A$1:$AH$151</definedName>
    <definedName name="_xlnm.Print_Area" localSheetId="15">THNL!$A$1:$O$1</definedName>
    <definedName name="_xlnm.Print_Area" localSheetId="16">THTL!$A$1:$O$111</definedName>
    <definedName name="_xlnm.Print_Area" localSheetId="0">'Tiên lượng'!$A$1:$X$49</definedName>
    <definedName name="_xlnm.Print_Titles" localSheetId="19">'Chiết tính'!$5:$5</definedName>
    <definedName name="_xlnm.Print_Titles" localSheetId="36">'Chiết tính rút gọn'!$5:$5</definedName>
    <definedName name="_xlnm.Print_Titles" localSheetId="3">'Cước ô tô'!$7:$8</definedName>
    <definedName name="_xlnm.Print_Titles" localSheetId="6">'Cước sông'!$5:$6</definedName>
    <definedName name="_xlnm.Print_Titles" localSheetId="20">ĐGTH!$5:$5</definedName>
    <definedName name="_xlnm.Print_Titles" localSheetId="1">'Giá VL'!$4:$4</definedName>
    <definedName name="_xlnm.Print_Titles" localSheetId="25">PTVT!$4:$5</definedName>
    <definedName name="_xlnm.Print_Titles" localSheetId="28">THCPTB!$10:$11</definedName>
    <definedName name="_xlnm.Print_Titles" localSheetId="27">THCPXD!$10:$10</definedName>
    <definedName name="_xlnm.Print_Titles" localSheetId="26">THDGDT!$10:$10</definedName>
    <definedName name="_xlnm.Print_Titles" localSheetId="12">THM!$4:$5</definedName>
    <definedName name="_xlnm.Print_Titles" localSheetId="9">THNC!$4:$5</definedName>
    <definedName name="_xlnm.Print_Titles" localSheetId="2">THVL!$4:$5</definedName>
    <definedName name="_xlnm.Print_Titles" localSheetId="0">'Tiên lượng'!$4:$5</definedName>
    <definedName name="StartInfo_CongTrinh">'Thông tin'!$A$3</definedName>
    <definedName name="StartInfo_HangMuc">'Thông tin'!$A$31</definedName>
    <definedName name="StartInfo_MauTHKPHM">'Thông tin'!$A$57</definedName>
    <definedName name="StartInfo_SoLieuTinhGiaNC">'Thông tin'!$A$39</definedName>
    <definedName name="THTL.TongKL0">THTL!$I$110</definedName>
    <definedName name="THTL.TTCLGiaHT0">THTL!$O$110</definedName>
    <definedName name="THTL.TTGiaGoc0">THTL!$K$110</definedName>
    <definedName name="THTL.TTGiaHT0">THTL!$M$110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48" l="1"/>
  <c r="F6" i="48" s="1"/>
  <c r="AB216" i="48"/>
  <c r="F51" i="48"/>
  <c r="B50" i="48"/>
  <c r="E12" i="48"/>
  <c r="H11" i="48"/>
  <c r="H9" i="48" s="1"/>
  <c r="H10" i="48"/>
  <c r="F9" i="48"/>
  <c r="M7" i="48"/>
  <c r="I7" i="48"/>
  <c r="G7" i="48"/>
  <c r="G6" i="48" s="1"/>
  <c r="B2" i="48"/>
  <c r="N26" i="45"/>
  <c r="L26" i="45"/>
  <c r="K26" i="45"/>
  <c r="D39" i="43"/>
  <c r="C39" i="43"/>
  <c r="B39" i="43"/>
  <c r="E38" i="43"/>
  <c r="D38" i="43"/>
  <c r="C38" i="43"/>
  <c r="B38" i="43"/>
  <c r="D37" i="43"/>
  <c r="C37" i="43"/>
  <c r="B37" i="43"/>
  <c r="D36" i="43"/>
  <c r="C36" i="43"/>
  <c r="B36" i="43"/>
  <c r="D35" i="43"/>
  <c r="C35" i="43"/>
  <c r="B35" i="43"/>
  <c r="D34" i="43"/>
  <c r="C34" i="43"/>
  <c r="B34" i="43"/>
  <c r="D33" i="43"/>
  <c r="C33" i="43"/>
  <c r="B33" i="43"/>
  <c r="D32" i="43"/>
  <c r="C32" i="43"/>
  <c r="B32" i="43"/>
  <c r="D31" i="43"/>
  <c r="C31" i="43"/>
  <c r="B31" i="43"/>
  <c r="E30" i="43"/>
  <c r="D30" i="43"/>
  <c r="C30" i="43"/>
  <c r="B30" i="43"/>
  <c r="E29" i="43"/>
  <c r="D29" i="43"/>
  <c r="C29" i="43"/>
  <c r="B29" i="43"/>
  <c r="E28" i="43"/>
  <c r="D28" i="43"/>
  <c r="C28" i="43"/>
  <c r="B28" i="43"/>
  <c r="E27" i="43"/>
  <c r="D27" i="43"/>
  <c r="C27" i="43"/>
  <c r="B27" i="43"/>
  <c r="D26" i="43"/>
  <c r="C26" i="43"/>
  <c r="B26" i="43"/>
  <c r="D25" i="43"/>
  <c r="C25" i="43"/>
  <c r="B25" i="43"/>
  <c r="E24" i="43"/>
  <c r="D24" i="43"/>
  <c r="C24" i="43"/>
  <c r="B24" i="43"/>
  <c r="D23" i="43"/>
  <c r="C23" i="43"/>
  <c r="B23" i="43"/>
  <c r="E22" i="43"/>
  <c r="D22" i="43"/>
  <c r="C22" i="43"/>
  <c r="B22" i="43"/>
  <c r="E21" i="43"/>
  <c r="D21" i="43"/>
  <c r="C21" i="43"/>
  <c r="B21" i="43"/>
  <c r="D20" i="43"/>
  <c r="C20" i="43"/>
  <c r="B20" i="43"/>
  <c r="D19" i="43"/>
  <c r="C19" i="43"/>
  <c r="B19" i="43"/>
  <c r="D18" i="43"/>
  <c r="C18" i="43"/>
  <c r="B18" i="43"/>
  <c r="M41" i="42"/>
  <c r="D40" i="42"/>
  <c r="C40" i="42"/>
  <c r="B40" i="42"/>
  <c r="E39" i="42"/>
  <c r="D39" i="42"/>
  <c r="C39" i="42"/>
  <c r="B39" i="42"/>
  <c r="D38" i="42"/>
  <c r="C38" i="42"/>
  <c r="B38" i="42"/>
  <c r="D37" i="42"/>
  <c r="C37" i="42"/>
  <c r="B37" i="42"/>
  <c r="D36" i="42"/>
  <c r="C36" i="42"/>
  <c r="B36" i="42"/>
  <c r="D35" i="42"/>
  <c r="C35" i="42"/>
  <c r="B35" i="42"/>
  <c r="D34" i="42"/>
  <c r="C34" i="42"/>
  <c r="B34" i="42"/>
  <c r="D33" i="42"/>
  <c r="C33" i="42"/>
  <c r="B33" i="42"/>
  <c r="D32" i="42"/>
  <c r="C32" i="42"/>
  <c r="B32" i="42"/>
  <c r="E31" i="42"/>
  <c r="D31" i="42"/>
  <c r="C31" i="42"/>
  <c r="B31" i="42"/>
  <c r="E30" i="42"/>
  <c r="D30" i="42"/>
  <c r="C30" i="42"/>
  <c r="B30" i="42"/>
  <c r="E29" i="42"/>
  <c r="D29" i="42"/>
  <c r="C29" i="42"/>
  <c r="B29" i="42"/>
  <c r="E28" i="42"/>
  <c r="D28" i="42"/>
  <c r="C28" i="42"/>
  <c r="B28" i="42"/>
  <c r="D27" i="42"/>
  <c r="C27" i="42"/>
  <c r="B27" i="42"/>
  <c r="D26" i="42"/>
  <c r="C26" i="42"/>
  <c r="B26" i="42"/>
  <c r="E25" i="42"/>
  <c r="D25" i="42"/>
  <c r="C25" i="42"/>
  <c r="B25" i="42"/>
  <c r="D24" i="42"/>
  <c r="C24" i="42"/>
  <c r="B24" i="42"/>
  <c r="E23" i="42"/>
  <c r="D23" i="42"/>
  <c r="C23" i="42"/>
  <c r="B23" i="42"/>
  <c r="E22" i="42"/>
  <c r="D22" i="42"/>
  <c r="C22" i="42"/>
  <c r="B22" i="42"/>
  <c r="D21" i="42"/>
  <c r="C21" i="42"/>
  <c r="B21" i="42"/>
  <c r="D20" i="42"/>
  <c r="C20" i="42"/>
  <c r="B20" i="42"/>
  <c r="D19" i="42"/>
  <c r="C19" i="42"/>
  <c r="B19" i="42"/>
  <c r="N46" i="41"/>
  <c r="J40" i="41"/>
  <c r="I40" i="41"/>
  <c r="D40" i="41"/>
  <c r="C40" i="41"/>
  <c r="B40" i="41"/>
  <c r="J39" i="41"/>
  <c r="I39" i="41"/>
  <c r="E39" i="41"/>
  <c r="D39" i="41"/>
  <c r="C39" i="41"/>
  <c r="B39" i="41"/>
  <c r="J38" i="41"/>
  <c r="I38" i="41"/>
  <c r="D38" i="41"/>
  <c r="C38" i="41"/>
  <c r="B38" i="41"/>
  <c r="J37" i="41"/>
  <c r="I37" i="41"/>
  <c r="D37" i="41"/>
  <c r="C37" i="41"/>
  <c r="B37" i="41"/>
  <c r="J36" i="41"/>
  <c r="I36" i="41"/>
  <c r="D36" i="41"/>
  <c r="C36" i="41"/>
  <c r="B36" i="41"/>
  <c r="J35" i="41"/>
  <c r="I35" i="41"/>
  <c r="D35" i="41"/>
  <c r="C35" i="41"/>
  <c r="B35" i="41"/>
  <c r="J34" i="41"/>
  <c r="I34" i="41"/>
  <c r="D34" i="41"/>
  <c r="C34" i="41"/>
  <c r="B34" i="41"/>
  <c r="J33" i="41"/>
  <c r="I33" i="41"/>
  <c r="D33" i="41"/>
  <c r="C33" i="41"/>
  <c r="B33" i="41"/>
  <c r="J32" i="41"/>
  <c r="I32" i="41"/>
  <c r="D32" i="41"/>
  <c r="C32" i="41"/>
  <c r="B32" i="41"/>
  <c r="J31" i="41"/>
  <c r="I31" i="41"/>
  <c r="E31" i="41"/>
  <c r="D31" i="41"/>
  <c r="C31" i="41"/>
  <c r="B31" i="41"/>
  <c r="J30" i="41"/>
  <c r="I30" i="41"/>
  <c r="E30" i="41"/>
  <c r="D30" i="41"/>
  <c r="C30" i="41"/>
  <c r="B30" i="41"/>
  <c r="J29" i="41"/>
  <c r="I29" i="41"/>
  <c r="E29" i="41"/>
  <c r="D29" i="41"/>
  <c r="C29" i="41"/>
  <c r="B29" i="41"/>
  <c r="J28" i="41"/>
  <c r="I28" i="41"/>
  <c r="E28" i="41"/>
  <c r="D28" i="41"/>
  <c r="C28" i="41"/>
  <c r="B28" i="41"/>
  <c r="J27" i="41"/>
  <c r="I27" i="41"/>
  <c r="D27" i="41"/>
  <c r="C27" i="41"/>
  <c r="B27" i="41"/>
  <c r="J26" i="41"/>
  <c r="I26" i="41"/>
  <c r="D26" i="41"/>
  <c r="C26" i="41"/>
  <c r="B26" i="41"/>
  <c r="J25" i="41"/>
  <c r="I25" i="41"/>
  <c r="E25" i="41"/>
  <c r="D25" i="41"/>
  <c r="C25" i="41"/>
  <c r="B25" i="41"/>
  <c r="J24" i="41"/>
  <c r="I24" i="41"/>
  <c r="D24" i="41"/>
  <c r="C24" i="41"/>
  <c r="B24" i="41"/>
  <c r="J23" i="41"/>
  <c r="I23" i="41"/>
  <c r="E23" i="41"/>
  <c r="D23" i="41"/>
  <c r="C23" i="41"/>
  <c r="B23" i="41"/>
  <c r="J22" i="41"/>
  <c r="I22" i="41"/>
  <c r="E22" i="41"/>
  <c r="D22" i="41"/>
  <c r="C22" i="41"/>
  <c r="B22" i="41"/>
  <c r="J21" i="41"/>
  <c r="I21" i="41"/>
  <c r="D21" i="41"/>
  <c r="C21" i="41"/>
  <c r="B21" i="41"/>
  <c r="J20" i="41"/>
  <c r="I20" i="41"/>
  <c r="D20" i="41"/>
  <c r="C20" i="41"/>
  <c r="B20" i="41"/>
  <c r="J19" i="41"/>
  <c r="I19" i="41"/>
  <c r="D19" i="41"/>
  <c r="C19" i="41"/>
  <c r="B19" i="41"/>
  <c r="L436" i="40"/>
  <c r="K436" i="40"/>
  <c r="J436" i="40"/>
  <c r="B417" i="40"/>
  <c r="B416" i="40"/>
  <c r="B415" i="40"/>
  <c r="B414" i="40"/>
  <c r="I402" i="40"/>
  <c r="I403" i="40" s="1"/>
  <c r="H402" i="40"/>
  <c r="J402" i="40" s="1"/>
  <c r="B395" i="40"/>
  <c r="B394" i="40"/>
  <c r="B393" i="40"/>
  <c r="B392" i="40"/>
  <c r="B391" i="40"/>
  <c r="B383" i="40"/>
  <c r="B382" i="40"/>
  <c r="B381" i="40"/>
  <c r="B380" i="40"/>
  <c r="B379" i="40"/>
  <c r="B371" i="40"/>
  <c r="B370" i="40"/>
  <c r="B369" i="40"/>
  <c r="B368" i="40"/>
  <c r="B367" i="40"/>
  <c r="B359" i="40"/>
  <c r="B358" i="40"/>
  <c r="B357" i="40"/>
  <c r="B356" i="40"/>
  <c r="B355" i="40"/>
  <c r="K347" i="40"/>
  <c r="L346" i="40"/>
  <c r="L347" i="40" s="1"/>
  <c r="J346" i="40"/>
  <c r="K346" i="40" s="1"/>
  <c r="B339" i="40"/>
  <c r="B338" i="40"/>
  <c r="B337" i="40"/>
  <c r="B336" i="40"/>
  <c r="B335" i="40"/>
  <c r="B327" i="40"/>
  <c r="B326" i="40"/>
  <c r="B325" i="40"/>
  <c r="B324" i="40"/>
  <c r="B323" i="40"/>
  <c r="B315" i="40"/>
  <c r="B314" i="40"/>
  <c r="B313" i="40"/>
  <c r="B312" i="40"/>
  <c r="B311" i="40"/>
  <c r="B303" i="40"/>
  <c r="B302" i="40"/>
  <c r="B301" i="40"/>
  <c r="B300" i="40"/>
  <c r="B299" i="40"/>
  <c r="S291" i="40"/>
  <c r="S290" i="40"/>
  <c r="S289" i="40"/>
  <c r="R289" i="40"/>
  <c r="T289" i="40" s="1"/>
  <c r="S288" i="40"/>
  <c r="R288" i="40"/>
  <c r="T288" i="40" s="1"/>
  <c r="S287" i="40"/>
  <c r="S285" i="40"/>
  <c r="S284" i="40"/>
  <c r="R284" i="40"/>
  <c r="T284" i="40" s="1"/>
  <c r="S283" i="40"/>
  <c r="R283" i="40"/>
  <c r="T283" i="40" s="1"/>
  <c r="S282" i="40"/>
  <c r="R282" i="40"/>
  <c r="T282" i="40" s="1"/>
  <c r="S281" i="40"/>
  <c r="R281" i="40"/>
  <c r="T281" i="40" s="1"/>
  <c r="B279" i="40"/>
  <c r="R285" i="40" s="1"/>
  <c r="S278" i="40"/>
  <c r="S277" i="40"/>
  <c r="S276" i="40"/>
  <c r="R276" i="40"/>
  <c r="T276" i="40" s="1"/>
  <c r="S275" i="40"/>
  <c r="S274" i="40"/>
  <c r="S272" i="40"/>
  <c r="S271" i="40"/>
  <c r="S270" i="40"/>
  <c r="S269" i="40"/>
  <c r="R269" i="40"/>
  <c r="T269" i="40" s="1"/>
  <c r="S268" i="40"/>
  <c r="B266" i="40"/>
  <c r="T265" i="40"/>
  <c r="S265" i="40"/>
  <c r="S264" i="40"/>
  <c r="R264" i="40"/>
  <c r="S263" i="40"/>
  <c r="R263" i="40"/>
  <c r="T263" i="40" s="1"/>
  <c r="S262" i="40"/>
  <c r="S261" i="40"/>
  <c r="R261" i="40"/>
  <c r="T261" i="40" s="1"/>
  <c r="S259" i="40"/>
  <c r="S258" i="40"/>
  <c r="T257" i="40"/>
  <c r="S257" i="40"/>
  <c r="R257" i="40"/>
  <c r="S256" i="40"/>
  <c r="S255" i="40"/>
  <c r="R255" i="40"/>
  <c r="B253" i="40"/>
  <c r="R265" i="40" s="1"/>
  <c r="S252" i="40"/>
  <c r="R252" i="40"/>
  <c r="T252" i="40" s="1"/>
  <c r="T251" i="40"/>
  <c r="S251" i="40"/>
  <c r="R251" i="40"/>
  <c r="S250" i="40"/>
  <c r="S249" i="40"/>
  <c r="R249" i="40"/>
  <c r="T249" i="40" s="1"/>
  <c r="S248" i="40"/>
  <c r="S246" i="40"/>
  <c r="S245" i="40"/>
  <c r="R245" i="40"/>
  <c r="T245" i="40" s="1"/>
  <c r="S244" i="40"/>
  <c r="S243" i="40"/>
  <c r="R243" i="40"/>
  <c r="T243" i="40" s="1"/>
  <c r="T242" i="40"/>
  <c r="S242" i="40"/>
  <c r="R242" i="40"/>
  <c r="B240" i="40"/>
  <c r="R244" i="40" s="1"/>
  <c r="T244" i="40" s="1"/>
  <c r="S239" i="40"/>
  <c r="R239" i="40"/>
  <c r="T239" i="40" s="1"/>
  <c r="S238" i="40"/>
  <c r="S237" i="40"/>
  <c r="R237" i="40"/>
  <c r="T237" i="40" s="1"/>
  <c r="S236" i="40"/>
  <c r="S235" i="40"/>
  <c r="S233" i="40"/>
  <c r="S232" i="40"/>
  <c r="S231" i="40"/>
  <c r="S230" i="40"/>
  <c r="R230" i="40"/>
  <c r="T230" i="40" s="1"/>
  <c r="S229" i="40"/>
  <c r="B227" i="40"/>
  <c r="B219" i="40"/>
  <c r="B218" i="40"/>
  <c r="B217" i="40"/>
  <c r="B216" i="40"/>
  <c r="B215" i="40"/>
  <c r="B207" i="40"/>
  <c r="B206" i="40"/>
  <c r="B205" i="40"/>
  <c r="B204" i="40"/>
  <c r="B203" i="40"/>
  <c r="B195" i="40"/>
  <c r="B194" i="40"/>
  <c r="B193" i="40"/>
  <c r="B192" i="40"/>
  <c r="B191" i="40"/>
  <c r="B183" i="40"/>
  <c r="B182" i="40"/>
  <c r="B181" i="40"/>
  <c r="B180" i="40"/>
  <c r="B179" i="40"/>
  <c r="B167" i="40"/>
  <c r="B166" i="40"/>
  <c r="B165" i="40"/>
  <c r="B164" i="40"/>
  <c r="B163" i="40"/>
  <c r="B161" i="40"/>
  <c r="B160" i="40"/>
  <c r="B159" i="40"/>
  <c r="B158" i="40"/>
  <c r="B157" i="40"/>
  <c r="B148" i="40"/>
  <c r="B147" i="40"/>
  <c r="B146" i="40"/>
  <c r="B145" i="40"/>
  <c r="B144" i="40"/>
  <c r="B142" i="40"/>
  <c r="B141" i="40"/>
  <c r="B140" i="40"/>
  <c r="B139" i="40"/>
  <c r="B138" i="40"/>
  <c r="B98" i="40"/>
  <c r="B97" i="40"/>
  <c r="B96" i="40"/>
  <c r="B95" i="40"/>
  <c r="B83" i="40"/>
  <c r="B82" i="40"/>
  <c r="B81" i="40"/>
  <c r="B80" i="40"/>
  <c r="B79" i="40"/>
  <c r="B77" i="40"/>
  <c r="B76" i="40"/>
  <c r="B75" i="40"/>
  <c r="B74" i="40"/>
  <c r="B73" i="40"/>
  <c r="B64" i="40"/>
  <c r="B63" i="40"/>
  <c r="B62" i="40"/>
  <c r="B61" i="40"/>
  <c r="B60" i="40"/>
  <c r="B58" i="40"/>
  <c r="B57" i="40"/>
  <c r="B56" i="40"/>
  <c r="B55" i="40"/>
  <c r="B54" i="40"/>
  <c r="C2" i="40"/>
  <c r="E18" i="39"/>
  <c r="D18" i="39"/>
  <c r="B18" i="39"/>
  <c r="E17" i="39"/>
  <c r="D17" i="39"/>
  <c r="B17" i="39"/>
  <c r="F16" i="39"/>
  <c r="E11" i="39"/>
  <c r="F11" i="39" s="1"/>
  <c r="E10" i="39"/>
  <c r="E12" i="39" s="1"/>
  <c r="F12" i="39" s="1"/>
  <c r="G10" i="38"/>
  <c r="G9" i="38"/>
  <c r="G8" i="38"/>
  <c r="G7" i="38"/>
  <c r="J28" i="37"/>
  <c r="E28" i="37"/>
  <c r="D28" i="37"/>
  <c r="C28" i="37"/>
  <c r="N27" i="37"/>
  <c r="M27" i="37"/>
  <c r="F27" i="37"/>
  <c r="L27" i="37" s="1"/>
  <c r="E27" i="37"/>
  <c r="D27" i="37"/>
  <c r="C27" i="37"/>
  <c r="E26" i="37"/>
  <c r="D26" i="37"/>
  <c r="C26" i="37"/>
  <c r="E25" i="37"/>
  <c r="D25" i="37"/>
  <c r="C25" i="37"/>
  <c r="E24" i="37"/>
  <c r="D24" i="37"/>
  <c r="C24" i="37"/>
  <c r="E23" i="37"/>
  <c r="D23" i="37"/>
  <c r="C23" i="37"/>
  <c r="E22" i="37"/>
  <c r="D22" i="37"/>
  <c r="C22" i="37"/>
  <c r="E21" i="37"/>
  <c r="D21" i="37"/>
  <c r="C21" i="37"/>
  <c r="E20" i="37"/>
  <c r="D20" i="37"/>
  <c r="C20" i="37"/>
  <c r="O19" i="37"/>
  <c r="F19" i="37"/>
  <c r="E19" i="37"/>
  <c r="D19" i="37"/>
  <c r="C19" i="37"/>
  <c r="F18" i="37"/>
  <c r="E18" i="37"/>
  <c r="D18" i="37"/>
  <c r="C18" i="37"/>
  <c r="F17" i="37"/>
  <c r="E17" i="37"/>
  <c r="D17" i="37"/>
  <c r="C17" i="37"/>
  <c r="N16" i="37"/>
  <c r="M16" i="37"/>
  <c r="L16" i="37"/>
  <c r="F16" i="37"/>
  <c r="E16" i="37"/>
  <c r="D16" i="37"/>
  <c r="C16" i="37"/>
  <c r="E15" i="37"/>
  <c r="D15" i="37"/>
  <c r="C15" i="37"/>
  <c r="E14" i="37"/>
  <c r="D14" i="37"/>
  <c r="C14" i="37"/>
  <c r="N13" i="37"/>
  <c r="F13" i="37"/>
  <c r="M13" i="37" s="1"/>
  <c r="E13" i="37"/>
  <c r="D13" i="37"/>
  <c r="C13" i="37"/>
  <c r="E12" i="37"/>
  <c r="D12" i="37"/>
  <c r="C12" i="37"/>
  <c r="N11" i="37"/>
  <c r="M11" i="37"/>
  <c r="F11" i="37"/>
  <c r="L11" i="37" s="1"/>
  <c r="E11" i="37"/>
  <c r="D11" i="37"/>
  <c r="C11" i="37"/>
  <c r="F10" i="37"/>
  <c r="E10" i="37"/>
  <c r="D10" i="37"/>
  <c r="C10" i="37"/>
  <c r="E9" i="37"/>
  <c r="D9" i="37"/>
  <c r="C9" i="37"/>
  <c r="E8" i="37"/>
  <c r="D8" i="37"/>
  <c r="C8" i="37"/>
  <c r="E7" i="37"/>
  <c r="D7" i="37"/>
  <c r="C7" i="37"/>
  <c r="I130" i="36"/>
  <c r="G130" i="36"/>
  <c r="F130" i="36"/>
  <c r="E130" i="36"/>
  <c r="I128" i="36"/>
  <c r="G128" i="36"/>
  <c r="F128" i="36"/>
  <c r="E128" i="36"/>
  <c r="I126" i="36"/>
  <c r="G126" i="36"/>
  <c r="F126" i="36"/>
  <c r="E126" i="36"/>
  <c r="F124" i="36"/>
  <c r="E124" i="36"/>
  <c r="D124" i="36"/>
  <c r="C124" i="36"/>
  <c r="I123" i="36"/>
  <c r="G123" i="36"/>
  <c r="F121" i="36"/>
  <c r="E121" i="36"/>
  <c r="D121" i="36"/>
  <c r="C121" i="36"/>
  <c r="I120" i="36"/>
  <c r="G120" i="36"/>
  <c r="F120" i="36"/>
  <c r="E120" i="36"/>
  <c r="F118" i="36"/>
  <c r="E118" i="36"/>
  <c r="D118" i="36"/>
  <c r="C118" i="36"/>
  <c r="I117" i="36"/>
  <c r="G117" i="36"/>
  <c r="F117" i="36"/>
  <c r="E117" i="36"/>
  <c r="I115" i="36"/>
  <c r="G115" i="36"/>
  <c r="F115" i="36"/>
  <c r="E115" i="36"/>
  <c r="F113" i="36"/>
  <c r="E113" i="36"/>
  <c r="D113" i="36"/>
  <c r="C113" i="36"/>
  <c r="I112" i="36"/>
  <c r="G112" i="36"/>
  <c r="I110" i="36"/>
  <c r="G110" i="36"/>
  <c r="F108" i="36"/>
  <c r="E108" i="36"/>
  <c r="D108" i="36"/>
  <c r="C108" i="36"/>
  <c r="I107" i="36"/>
  <c r="G107" i="36"/>
  <c r="F107" i="36"/>
  <c r="E107" i="36"/>
  <c r="I105" i="36"/>
  <c r="G105" i="36"/>
  <c r="F105" i="36"/>
  <c r="E105" i="36"/>
  <c r="I103" i="36"/>
  <c r="G103" i="36"/>
  <c r="F103" i="36"/>
  <c r="E103" i="36"/>
  <c r="I102" i="36"/>
  <c r="G102" i="36"/>
  <c r="F102" i="36"/>
  <c r="E102" i="36"/>
  <c r="F100" i="36"/>
  <c r="E100" i="36"/>
  <c r="D100" i="36"/>
  <c r="C100" i="36"/>
  <c r="I99" i="36"/>
  <c r="I98" i="36"/>
  <c r="G98" i="36"/>
  <c r="F98" i="36"/>
  <c r="E98" i="36"/>
  <c r="I97" i="36"/>
  <c r="G97" i="36"/>
  <c r="F97" i="36"/>
  <c r="E97" i="36"/>
  <c r="I96" i="36"/>
  <c r="G96" i="36"/>
  <c r="F96" i="36"/>
  <c r="E96" i="36"/>
  <c r="I94" i="36"/>
  <c r="G94" i="36"/>
  <c r="F94" i="36"/>
  <c r="E94" i="36"/>
  <c r="I92" i="36"/>
  <c r="I91" i="36"/>
  <c r="G91" i="36"/>
  <c r="F91" i="36"/>
  <c r="E91" i="36"/>
  <c r="I90" i="36"/>
  <c r="G90" i="36"/>
  <c r="F90" i="36"/>
  <c r="E90" i="36"/>
  <c r="I89" i="36"/>
  <c r="G89" i="36"/>
  <c r="F89" i="36"/>
  <c r="E89" i="36"/>
  <c r="I88" i="36"/>
  <c r="G88" i="36"/>
  <c r="F88" i="36"/>
  <c r="E88" i="36"/>
  <c r="I87" i="36"/>
  <c r="G87" i="36"/>
  <c r="F87" i="36"/>
  <c r="E87" i="36"/>
  <c r="I86" i="36"/>
  <c r="G86" i="36"/>
  <c r="F86" i="36"/>
  <c r="E86" i="36"/>
  <c r="F84" i="36"/>
  <c r="E84" i="36"/>
  <c r="D84" i="36"/>
  <c r="C84" i="36"/>
  <c r="I83" i="36"/>
  <c r="G83" i="36"/>
  <c r="I82" i="36"/>
  <c r="G82" i="36"/>
  <c r="F82" i="36"/>
  <c r="E82" i="36"/>
  <c r="I80" i="36"/>
  <c r="G80" i="36"/>
  <c r="F80" i="36"/>
  <c r="E80" i="36"/>
  <c r="I78" i="36"/>
  <c r="I77" i="36"/>
  <c r="G77" i="36"/>
  <c r="F77" i="36"/>
  <c r="E77" i="36"/>
  <c r="I76" i="36"/>
  <c r="G76" i="36"/>
  <c r="F76" i="36"/>
  <c r="E76" i="36"/>
  <c r="F74" i="36"/>
  <c r="E74" i="36"/>
  <c r="D74" i="36"/>
  <c r="C74" i="36"/>
  <c r="I73" i="36"/>
  <c r="G73" i="36"/>
  <c r="F73" i="36"/>
  <c r="E73" i="36"/>
  <c r="I71" i="36"/>
  <c r="I70" i="36"/>
  <c r="G70" i="36"/>
  <c r="F70" i="36"/>
  <c r="E70" i="36"/>
  <c r="F68" i="36"/>
  <c r="E68" i="36"/>
  <c r="D68" i="36"/>
  <c r="C68" i="36"/>
  <c r="I67" i="36"/>
  <c r="G67" i="36"/>
  <c r="I65" i="36"/>
  <c r="G65" i="36"/>
  <c r="F63" i="36"/>
  <c r="E63" i="36"/>
  <c r="D63" i="36"/>
  <c r="C63" i="36"/>
  <c r="I62" i="36"/>
  <c r="I61" i="36"/>
  <c r="G61" i="36"/>
  <c r="F61" i="36"/>
  <c r="E61" i="36"/>
  <c r="I59" i="36"/>
  <c r="G59" i="36"/>
  <c r="F59" i="36"/>
  <c r="E59" i="36"/>
  <c r="I57" i="36"/>
  <c r="G57" i="36"/>
  <c r="I56" i="36"/>
  <c r="G56" i="36"/>
  <c r="F56" i="36"/>
  <c r="E56" i="36"/>
  <c r="F54" i="36"/>
  <c r="E54" i="36"/>
  <c r="D54" i="36"/>
  <c r="C54" i="36"/>
  <c r="I53" i="36"/>
  <c r="G53" i="36"/>
  <c r="F51" i="36"/>
  <c r="E51" i="36"/>
  <c r="D51" i="36"/>
  <c r="C51" i="36"/>
  <c r="I50" i="36"/>
  <c r="G50" i="36"/>
  <c r="F48" i="36"/>
  <c r="E48" i="36"/>
  <c r="D48" i="36"/>
  <c r="C48" i="36"/>
  <c r="I47" i="36"/>
  <c r="G47" i="36"/>
  <c r="F47" i="36"/>
  <c r="E47" i="36"/>
  <c r="I45" i="36"/>
  <c r="G45" i="36"/>
  <c r="F45" i="36"/>
  <c r="E45" i="36"/>
  <c r="F43" i="36"/>
  <c r="E43" i="36"/>
  <c r="D43" i="36"/>
  <c r="C43" i="36"/>
  <c r="I42" i="36"/>
  <c r="I41" i="36"/>
  <c r="G41" i="36"/>
  <c r="F41" i="36"/>
  <c r="E41" i="36"/>
  <c r="I40" i="36"/>
  <c r="G40" i="36"/>
  <c r="F40" i="36"/>
  <c r="E40" i="36"/>
  <c r="I38" i="36"/>
  <c r="G38" i="36"/>
  <c r="F38" i="36"/>
  <c r="E38" i="36"/>
  <c r="I36" i="36"/>
  <c r="G36" i="36"/>
  <c r="F36" i="36"/>
  <c r="E36" i="36"/>
  <c r="F34" i="36"/>
  <c r="E34" i="36"/>
  <c r="D34" i="36"/>
  <c r="C34" i="36"/>
  <c r="I33" i="36"/>
  <c r="G33" i="36"/>
  <c r="F33" i="36"/>
  <c r="E33" i="36"/>
  <c r="F31" i="36"/>
  <c r="E31" i="36"/>
  <c r="D31" i="36"/>
  <c r="C31" i="36"/>
  <c r="I30" i="36"/>
  <c r="G30" i="36"/>
  <c r="F30" i="36"/>
  <c r="E30" i="36"/>
  <c r="I28" i="36"/>
  <c r="G28" i="36"/>
  <c r="F28" i="36"/>
  <c r="E28" i="36"/>
  <c r="F26" i="36"/>
  <c r="E26" i="36"/>
  <c r="D26" i="36"/>
  <c r="C26" i="36"/>
  <c r="I25" i="36"/>
  <c r="G25" i="36"/>
  <c r="F23" i="36"/>
  <c r="E23" i="36"/>
  <c r="D23" i="36"/>
  <c r="C23" i="36"/>
  <c r="I22" i="36"/>
  <c r="G22" i="36"/>
  <c r="F20" i="36"/>
  <c r="E20" i="36"/>
  <c r="D20" i="36"/>
  <c r="C20" i="36"/>
  <c r="I19" i="36"/>
  <c r="G19" i="36"/>
  <c r="F19" i="36"/>
  <c r="E19" i="36"/>
  <c r="F17" i="36"/>
  <c r="E17" i="36"/>
  <c r="D17" i="36"/>
  <c r="C17" i="36"/>
  <c r="I16" i="36"/>
  <c r="G16" i="36"/>
  <c r="F16" i="36"/>
  <c r="E16" i="36"/>
  <c r="I14" i="36"/>
  <c r="H14" i="36"/>
  <c r="G14" i="36"/>
  <c r="F14" i="36"/>
  <c r="E14" i="36"/>
  <c r="F12" i="36"/>
  <c r="E12" i="36"/>
  <c r="D12" i="36"/>
  <c r="C12" i="36"/>
  <c r="I11" i="36"/>
  <c r="G11" i="36"/>
  <c r="F11" i="36"/>
  <c r="E11" i="36"/>
  <c r="I10" i="36"/>
  <c r="G10" i="36"/>
  <c r="F10" i="36"/>
  <c r="E10" i="36"/>
  <c r="I8" i="36"/>
  <c r="G8" i="36"/>
  <c r="F8" i="36"/>
  <c r="E8" i="36"/>
  <c r="F6" i="36"/>
  <c r="E6" i="36"/>
  <c r="D6" i="36"/>
  <c r="C6" i="36"/>
  <c r="D18" i="35"/>
  <c r="D17" i="35"/>
  <c r="D15" i="35"/>
  <c r="D14" i="35"/>
  <c r="D13" i="35"/>
  <c r="D12" i="35"/>
  <c r="D11" i="35"/>
  <c r="D10" i="35"/>
  <c r="D9" i="35"/>
  <c r="D8" i="35"/>
  <c r="D7" i="35"/>
  <c r="D6" i="35"/>
  <c r="D5" i="35"/>
  <c r="D4" i="35"/>
  <c r="D3" i="35"/>
  <c r="E67" i="33"/>
  <c r="E65" i="33"/>
  <c r="E64" i="33"/>
  <c r="E63" i="33"/>
  <c r="E61" i="33"/>
  <c r="E60" i="33"/>
  <c r="E59" i="33"/>
  <c r="B48" i="33"/>
  <c r="B49" i="33" s="1"/>
  <c r="B50" i="33" s="1"/>
  <c r="B51" i="33" s="1"/>
  <c r="B52" i="33" s="1"/>
  <c r="B53" i="33" s="1"/>
  <c r="B55" i="33" s="1"/>
  <c r="B56" i="33" s="1"/>
  <c r="B57" i="33" s="1"/>
  <c r="B58" i="33" s="1"/>
  <c r="B59" i="33" s="1"/>
  <c r="B60" i="33" s="1"/>
  <c r="B61" i="33" s="1"/>
  <c r="B62" i="33" s="1"/>
  <c r="B63" i="33" s="1"/>
  <c r="B64" i="33" s="1"/>
  <c r="B65" i="33" s="1"/>
  <c r="B66" i="33" s="1"/>
  <c r="B67" i="33" s="1"/>
  <c r="B68" i="33" s="1"/>
  <c r="B69" i="33" s="1"/>
  <c r="B70" i="33" s="1"/>
  <c r="B71" i="33" s="1"/>
  <c r="B72" i="33" s="1"/>
  <c r="B73" i="33" s="1"/>
  <c r="B74" i="33" s="1"/>
  <c r="B75" i="33" s="1"/>
  <c r="B76" i="33" s="1"/>
  <c r="B77" i="33" s="1"/>
  <c r="B78" i="33" s="1"/>
  <c r="B79" i="33" s="1"/>
  <c r="B80" i="33" s="1"/>
  <c r="B81" i="33" s="1"/>
  <c r="B82" i="33" s="1"/>
  <c r="B83" i="33" s="1"/>
  <c r="B84" i="33" s="1"/>
  <c r="B85" i="33" s="1"/>
  <c r="B86" i="33" s="1"/>
  <c r="B87" i="33" s="1"/>
  <c r="B88" i="33" s="1"/>
  <c r="B89" i="33" s="1"/>
  <c r="B90" i="33" s="1"/>
  <c r="B91" i="33" s="1"/>
  <c r="B92" i="33" s="1"/>
  <c r="B93" i="33" s="1"/>
  <c r="B94" i="33" s="1"/>
  <c r="B46" i="33"/>
  <c r="B44" i="33"/>
  <c r="B42" i="33"/>
  <c r="B40" i="33"/>
  <c r="B38" i="33"/>
  <c r="B36" i="33"/>
  <c r="B34" i="33"/>
  <c r="B10" i="33"/>
  <c r="B11" i="33" s="1"/>
  <c r="B12" i="33" s="1"/>
  <c r="B13" i="33" s="1"/>
  <c r="B14" i="33" s="1"/>
  <c r="B15" i="33" s="1"/>
  <c r="B16" i="33" s="1"/>
  <c r="B17" i="33" s="1"/>
  <c r="B18" i="33" s="1"/>
  <c r="B19" i="33" s="1"/>
  <c r="B20" i="33" s="1"/>
  <c r="B21" i="33" s="1"/>
  <c r="B22" i="33" s="1"/>
  <c r="B23" i="33" s="1"/>
  <c r="B24" i="33" s="1"/>
  <c r="B25" i="33" s="1"/>
  <c r="B26" i="33" s="1"/>
  <c r="B27" i="33" s="1"/>
  <c r="B28" i="33" s="1"/>
  <c r="B29" i="33" s="1"/>
  <c r="B7" i="33"/>
  <c r="B8" i="33" s="1"/>
  <c r="B9" i="33" s="1"/>
  <c r="B6" i="33"/>
  <c r="H16" i="29"/>
  <c r="G16" i="29"/>
  <c r="G15" i="29"/>
  <c r="H15" i="29" s="1"/>
  <c r="G14" i="29"/>
  <c r="H14" i="29" s="1"/>
  <c r="G13" i="29"/>
  <c r="H12" i="29"/>
  <c r="G12" i="29"/>
  <c r="G11" i="29"/>
  <c r="H11" i="29" s="1"/>
  <c r="G10" i="29"/>
  <c r="H10" i="29" s="1"/>
  <c r="F9" i="29"/>
  <c r="E8" i="29"/>
  <c r="E6" i="29"/>
  <c r="K17" i="28"/>
  <c r="J17" i="28"/>
  <c r="I17" i="28"/>
  <c r="H16" i="28"/>
  <c r="H15" i="28"/>
  <c r="H14" i="28"/>
  <c r="H13" i="28"/>
  <c r="H12" i="28"/>
  <c r="B8" i="28"/>
  <c r="G12" i="27"/>
  <c r="L154" i="25"/>
  <c r="J154" i="25"/>
  <c r="K154" i="25" s="1"/>
  <c r="H154" i="25"/>
  <c r="E154" i="25"/>
  <c r="D154" i="25"/>
  <c r="K153" i="25"/>
  <c r="L152" i="25"/>
  <c r="J152" i="25"/>
  <c r="H152" i="25"/>
  <c r="E152" i="25"/>
  <c r="D152" i="25"/>
  <c r="M150" i="25"/>
  <c r="M149" i="25" s="1"/>
  <c r="L150" i="25"/>
  <c r="K150" i="25"/>
  <c r="J150" i="25"/>
  <c r="H150" i="25"/>
  <c r="E150" i="25"/>
  <c r="D150" i="25"/>
  <c r="K149" i="25"/>
  <c r="E148" i="25"/>
  <c r="D148" i="25"/>
  <c r="K147" i="25"/>
  <c r="K146" i="25" s="1"/>
  <c r="H147" i="25"/>
  <c r="H145" i="25"/>
  <c r="I143" i="25"/>
  <c r="H143" i="25"/>
  <c r="F141" i="25"/>
  <c r="E141" i="25"/>
  <c r="D141" i="25"/>
  <c r="L140" i="25"/>
  <c r="J140" i="25"/>
  <c r="H140" i="25"/>
  <c r="E140" i="25"/>
  <c r="D140" i="25"/>
  <c r="E138" i="25"/>
  <c r="D138" i="25"/>
  <c r="L137" i="25"/>
  <c r="J137" i="25"/>
  <c r="H137" i="25"/>
  <c r="E137" i="25"/>
  <c r="D137" i="25"/>
  <c r="L135" i="25"/>
  <c r="M135" i="25" s="1"/>
  <c r="M134" i="25" s="1"/>
  <c r="K135" i="25"/>
  <c r="J135" i="25"/>
  <c r="H135" i="25"/>
  <c r="E135" i="25"/>
  <c r="D135" i="25"/>
  <c r="K134" i="25"/>
  <c r="E133" i="25"/>
  <c r="D133" i="25"/>
  <c r="K132" i="25"/>
  <c r="K131" i="25" s="1"/>
  <c r="H132" i="25"/>
  <c r="H130" i="25"/>
  <c r="H128" i="25"/>
  <c r="E126" i="25"/>
  <c r="D126" i="25"/>
  <c r="L125" i="25"/>
  <c r="J125" i="25"/>
  <c r="H125" i="25"/>
  <c r="E125" i="25"/>
  <c r="D125" i="25"/>
  <c r="M123" i="25"/>
  <c r="L123" i="25"/>
  <c r="K123" i="25"/>
  <c r="K122" i="25" s="1"/>
  <c r="J123" i="25"/>
  <c r="H123" i="25"/>
  <c r="E123" i="25"/>
  <c r="D123" i="25"/>
  <c r="M122" i="25"/>
  <c r="L121" i="25"/>
  <c r="J121" i="25"/>
  <c r="H121" i="25"/>
  <c r="E121" i="25"/>
  <c r="D121" i="25"/>
  <c r="L120" i="25"/>
  <c r="M120" i="25" s="1"/>
  <c r="J120" i="25"/>
  <c r="K120" i="25" s="1"/>
  <c r="H120" i="25"/>
  <c r="E120" i="25"/>
  <c r="D120" i="25"/>
  <c r="E118" i="25"/>
  <c r="D118" i="25"/>
  <c r="L117" i="25"/>
  <c r="J117" i="25"/>
  <c r="K117" i="25" s="1"/>
  <c r="H117" i="25"/>
  <c r="G117" i="25"/>
  <c r="G99" i="36" s="1"/>
  <c r="M116" i="25"/>
  <c r="L116" i="25"/>
  <c r="K116" i="25"/>
  <c r="J116" i="25"/>
  <c r="H116" i="25"/>
  <c r="E116" i="25"/>
  <c r="D116" i="25"/>
  <c r="M115" i="25"/>
  <c r="L115" i="25"/>
  <c r="J115" i="25"/>
  <c r="H115" i="25"/>
  <c r="K115" i="25" s="1"/>
  <c r="E115" i="25"/>
  <c r="D115" i="25"/>
  <c r="L114" i="25"/>
  <c r="J114" i="25"/>
  <c r="H114" i="25"/>
  <c r="E114" i="25"/>
  <c r="D114" i="25"/>
  <c r="M112" i="25"/>
  <c r="L112" i="25"/>
  <c r="K112" i="25"/>
  <c r="J112" i="25"/>
  <c r="H112" i="25"/>
  <c r="E112" i="25"/>
  <c r="D112" i="25"/>
  <c r="M111" i="25"/>
  <c r="K111" i="25"/>
  <c r="J110" i="25"/>
  <c r="K110" i="25" s="1"/>
  <c r="H110" i="25"/>
  <c r="G110" i="25"/>
  <c r="G92" i="36" s="1"/>
  <c r="L109" i="25"/>
  <c r="M109" i="25" s="1"/>
  <c r="K109" i="25"/>
  <c r="J109" i="25"/>
  <c r="H109" i="25"/>
  <c r="E109" i="25"/>
  <c r="D109" i="25"/>
  <c r="M108" i="25"/>
  <c r="L108" i="25"/>
  <c r="K108" i="25"/>
  <c r="J108" i="25"/>
  <c r="H108" i="25"/>
  <c r="E108" i="25"/>
  <c r="D108" i="25"/>
  <c r="L107" i="25"/>
  <c r="J107" i="25"/>
  <c r="H107" i="25"/>
  <c r="E107" i="25"/>
  <c r="D107" i="25"/>
  <c r="L106" i="25"/>
  <c r="J106" i="25"/>
  <c r="H106" i="25"/>
  <c r="E106" i="25"/>
  <c r="D106" i="25"/>
  <c r="L105" i="25"/>
  <c r="M105" i="25" s="1"/>
  <c r="J105" i="25"/>
  <c r="K105" i="25" s="1"/>
  <c r="H105" i="25"/>
  <c r="E105" i="25"/>
  <c r="D105" i="25"/>
  <c r="M104" i="25"/>
  <c r="L104" i="25"/>
  <c r="K104" i="25"/>
  <c r="J104" i="25"/>
  <c r="H104" i="25"/>
  <c r="E104" i="25"/>
  <c r="D104" i="25"/>
  <c r="E102" i="25"/>
  <c r="D102" i="25"/>
  <c r="L101" i="25"/>
  <c r="M101" i="25" s="1"/>
  <c r="H101" i="25"/>
  <c r="G101" i="25"/>
  <c r="K101" i="25" s="1"/>
  <c r="M100" i="25"/>
  <c r="M99" i="25" s="1"/>
  <c r="L100" i="25"/>
  <c r="J100" i="25"/>
  <c r="J101" i="25" s="1"/>
  <c r="H100" i="25"/>
  <c r="K100" i="25" s="1"/>
  <c r="K99" i="25" s="1"/>
  <c r="E100" i="25"/>
  <c r="D100" i="25"/>
  <c r="L98" i="25"/>
  <c r="M98" i="25" s="1"/>
  <c r="J98" i="25"/>
  <c r="K98" i="25" s="1"/>
  <c r="K97" i="25" s="1"/>
  <c r="H98" i="25"/>
  <c r="E98" i="25"/>
  <c r="D98" i="25"/>
  <c r="M97" i="25"/>
  <c r="H96" i="25"/>
  <c r="G96" i="25"/>
  <c r="L95" i="25"/>
  <c r="J95" i="25"/>
  <c r="H95" i="25"/>
  <c r="E95" i="25"/>
  <c r="D95" i="25"/>
  <c r="L94" i="25"/>
  <c r="J94" i="25"/>
  <c r="J96" i="25" s="1"/>
  <c r="H94" i="25"/>
  <c r="E94" i="25"/>
  <c r="D94" i="25"/>
  <c r="E92" i="25"/>
  <c r="D92" i="25"/>
  <c r="L91" i="25"/>
  <c r="M91" i="25" s="1"/>
  <c r="M90" i="25" s="1"/>
  <c r="K91" i="25"/>
  <c r="J91" i="25"/>
  <c r="H91" i="25"/>
  <c r="E91" i="25"/>
  <c r="D91" i="25"/>
  <c r="K90" i="25"/>
  <c r="L89" i="25"/>
  <c r="H89" i="25"/>
  <c r="G89" i="25"/>
  <c r="L88" i="25"/>
  <c r="J88" i="25"/>
  <c r="J89" i="25" s="1"/>
  <c r="H88" i="25"/>
  <c r="E88" i="25"/>
  <c r="D88" i="25"/>
  <c r="E86" i="25"/>
  <c r="D86" i="25"/>
  <c r="K85" i="25"/>
  <c r="H85" i="25"/>
  <c r="Q85" i="25" s="1"/>
  <c r="Q84" i="25" s="1"/>
  <c r="K84" i="25"/>
  <c r="K83" i="25"/>
  <c r="H83" i="25"/>
  <c r="Q83" i="25" s="1"/>
  <c r="Q82" i="25"/>
  <c r="K82" i="25"/>
  <c r="K81" i="25"/>
  <c r="H81" i="25"/>
  <c r="Q81" i="25" s="1"/>
  <c r="Q80" i="25" s="1"/>
  <c r="K80" i="25"/>
  <c r="F79" i="25"/>
  <c r="I85" i="25" s="1"/>
  <c r="E79" i="25"/>
  <c r="D79" i="25"/>
  <c r="J78" i="25"/>
  <c r="H78" i="25"/>
  <c r="G78" i="25"/>
  <c r="G62" i="36" s="1"/>
  <c r="M77" i="25"/>
  <c r="L77" i="25"/>
  <c r="L78" i="25" s="1"/>
  <c r="J77" i="25"/>
  <c r="I77" i="25"/>
  <c r="H77" i="25"/>
  <c r="K77" i="25" s="1"/>
  <c r="E77" i="25"/>
  <c r="D77" i="25"/>
  <c r="L75" i="25"/>
  <c r="M75" i="25" s="1"/>
  <c r="K75" i="25"/>
  <c r="J75" i="25"/>
  <c r="I75" i="25"/>
  <c r="H75" i="25"/>
  <c r="E75" i="25"/>
  <c r="D75" i="25"/>
  <c r="M74" i="25"/>
  <c r="K74" i="25"/>
  <c r="H73" i="25"/>
  <c r="G73" i="25"/>
  <c r="L72" i="25"/>
  <c r="L73" i="25" s="1"/>
  <c r="J72" i="25"/>
  <c r="I72" i="25"/>
  <c r="H72" i="25"/>
  <c r="E72" i="25"/>
  <c r="D72" i="25"/>
  <c r="F70" i="25"/>
  <c r="E70" i="25"/>
  <c r="D70" i="25"/>
  <c r="M69" i="25"/>
  <c r="M68" i="25" s="1"/>
  <c r="H69" i="25"/>
  <c r="K69" i="25" s="1"/>
  <c r="K68" i="25"/>
  <c r="Q67" i="25"/>
  <c r="Q66" i="25" s="1"/>
  <c r="K67" i="25"/>
  <c r="H67" i="25"/>
  <c r="M67" i="25" s="1"/>
  <c r="M66" i="25" s="1"/>
  <c r="K66" i="25"/>
  <c r="Q65" i="25"/>
  <c r="Q64" i="25" s="1"/>
  <c r="K65" i="25"/>
  <c r="H65" i="25"/>
  <c r="M65" i="25" s="1"/>
  <c r="M64" i="25" s="1"/>
  <c r="K64" i="25"/>
  <c r="F63" i="25"/>
  <c r="E63" i="25"/>
  <c r="D63" i="25"/>
  <c r="H62" i="25"/>
  <c r="H60" i="25"/>
  <c r="H58" i="25"/>
  <c r="F56" i="25"/>
  <c r="E56" i="25"/>
  <c r="D56" i="25"/>
  <c r="M55" i="25"/>
  <c r="M54" i="25" s="1"/>
  <c r="L55" i="25"/>
  <c r="K55" i="25"/>
  <c r="J55" i="25"/>
  <c r="H55" i="25"/>
  <c r="E55" i="25"/>
  <c r="D55" i="25"/>
  <c r="K54" i="25"/>
  <c r="L53" i="25"/>
  <c r="J53" i="25"/>
  <c r="K53" i="25" s="1"/>
  <c r="H53" i="25"/>
  <c r="E53" i="25"/>
  <c r="D53" i="25"/>
  <c r="K52" i="25"/>
  <c r="E51" i="25"/>
  <c r="D51" i="25"/>
  <c r="J50" i="25"/>
  <c r="K50" i="25" s="1"/>
  <c r="H50" i="25"/>
  <c r="G50" i="25"/>
  <c r="G42" i="36" s="1"/>
  <c r="L49" i="25"/>
  <c r="L50" i="25" s="1"/>
  <c r="K49" i="25"/>
  <c r="K47" i="25" s="1"/>
  <c r="J49" i="25"/>
  <c r="H49" i="25"/>
  <c r="E49" i="25"/>
  <c r="D49" i="25"/>
  <c r="M48" i="25"/>
  <c r="L48" i="25"/>
  <c r="K48" i="25"/>
  <c r="J48" i="25"/>
  <c r="H48" i="25"/>
  <c r="E48" i="25"/>
  <c r="D48" i="25"/>
  <c r="L46" i="25"/>
  <c r="J46" i="25"/>
  <c r="K46" i="25" s="1"/>
  <c r="K45" i="25" s="1"/>
  <c r="H46" i="25"/>
  <c r="E46" i="25"/>
  <c r="D46" i="25"/>
  <c r="L44" i="25"/>
  <c r="J44" i="25"/>
  <c r="H44" i="25"/>
  <c r="E44" i="25"/>
  <c r="D44" i="25"/>
  <c r="E42" i="25"/>
  <c r="D42" i="25"/>
  <c r="L41" i="25"/>
  <c r="J41" i="25"/>
  <c r="H41" i="25"/>
  <c r="E41" i="25"/>
  <c r="D41" i="25"/>
  <c r="F39" i="25"/>
  <c r="E39" i="25"/>
  <c r="D39" i="25"/>
  <c r="L38" i="25"/>
  <c r="J38" i="25"/>
  <c r="H38" i="25"/>
  <c r="E38" i="25"/>
  <c r="D38" i="25"/>
  <c r="M36" i="25"/>
  <c r="M35" i="25" s="1"/>
  <c r="L36" i="25"/>
  <c r="J36" i="25"/>
  <c r="H36" i="25"/>
  <c r="K36" i="25" s="1"/>
  <c r="K35" i="25" s="1"/>
  <c r="E36" i="25"/>
  <c r="D36" i="25"/>
  <c r="E34" i="25"/>
  <c r="D34" i="25"/>
  <c r="Q33" i="25"/>
  <c r="M33" i="25"/>
  <c r="K33" i="25"/>
  <c r="K32" i="25" s="1"/>
  <c r="I33" i="25"/>
  <c r="H33" i="25"/>
  <c r="Q32" i="25"/>
  <c r="M32" i="25"/>
  <c r="Q31" i="25"/>
  <c r="M31" i="25"/>
  <c r="K31" i="25"/>
  <c r="K30" i="25" s="1"/>
  <c r="I31" i="25"/>
  <c r="H31" i="25"/>
  <c r="Q30" i="25"/>
  <c r="M30" i="25"/>
  <c r="Q29" i="25"/>
  <c r="M29" i="25"/>
  <c r="K29" i="25"/>
  <c r="K28" i="25" s="1"/>
  <c r="I29" i="25"/>
  <c r="H29" i="25"/>
  <c r="Q28" i="25"/>
  <c r="M28" i="25"/>
  <c r="F27" i="25"/>
  <c r="E27" i="25"/>
  <c r="D27" i="25"/>
  <c r="Q26" i="25"/>
  <c r="Q25" i="25" s="1"/>
  <c r="K26" i="25"/>
  <c r="H26" i="25"/>
  <c r="M26" i="25" s="1"/>
  <c r="M25" i="25" s="1"/>
  <c r="K25" i="25"/>
  <c r="Q24" i="25"/>
  <c r="Q23" i="25" s="1"/>
  <c r="K24" i="25"/>
  <c r="H24" i="25"/>
  <c r="M24" i="25" s="1"/>
  <c r="M23" i="25" s="1"/>
  <c r="K23" i="25"/>
  <c r="Q22" i="25"/>
  <c r="Q21" i="25" s="1"/>
  <c r="K22" i="25"/>
  <c r="H22" i="25"/>
  <c r="M22" i="25" s="1"/>
  <c r="M21" i="25" s="1"/>
  <c r="K21" i="25"/>
  <c r="F20" i="25"/>
  <c r="E20" i="25"/>
  <c r="D20" i="25"/>
  <c r="L19" i="25"/>
  <c r="J19" i="25"/>
  <c r="K19" i="25" s="1"/>
  <c r="K18" i="25" s="1"/>
  <c r="H19" i="25"/>
  <c r="E19" i="25"/>
  <c r="D19" i="25"/>
  <c r="E17" i="25"/>
  <c r="D17" i="25"/>
  <c r="L16" i="25"/>
  <c r="K16" i="25"/>
  <c r="K15" i="25" s="1"/>
  <c r="J16" i="25"/>
  <c r="H16" i="25"/>
  <c r="E16" i="25"/>
  <c r="D16" i="25"/>
  <c r="L14" i="25"/>
  <c r="J14" i="25"/>
  <c r="H14" i="25"/>
  <c r="E14" i="25"/>
  <c r="D14" i="25"/>
  <c r="E12" i="25"/>
  <c r="D12" i="25"/>
  <c r="L11" i="25"/>
  <c r="J11" i="25"/>
  <c r="H11" i="25"/>
  <c r="E11" i="25"/>
  <c r="D11" i="25"/>
  <c r="M10" i="25"/>
  <c r="L10" i="25"/>
  <c r="J10" i="25"/>
  <c r="K10" i="25" s="1"/>
  <c r="H10" i="25"/>
  <c r="E10" i="25"/>
  <c r="D10" i="25"/>
  <c r="L8" i="25"/>
  <c r="K8" i="25"/>
  <c r="J8" i="25"/>
  <c r="H8" i="25"/>
  <c r="M8" i="25" s="1"/>
  <c r="M7" i="25" s="1"/>
  <c r="E8" i="25"/>
  <c r="D8" i="25"/>
  <c r="K7" i="25"/>
  <c r="E6" i="25"/>
  <c r="D6" i="25"/>
  <c r="J55" i="23"/>
  <c r="K54" i="23"/>
  <c r="J54" i="23"/>
  <c r="I54" i="23"/>
  <c r="J53" i="23"/>
  <c r="J52" i="23"/>
  <c r="J51" i="23"/>
  <c r="G50" i="23"/>
  <c r="F50" i="23"/>
  <c r="G49" i="23"/>
  <c r="F49" i="23"/>
  <c r="G48" i="23"/>
  <c r="F48" i="23"/>
  <c r="G47" i="23"/>
  <c r="F47" i="23"/>
  <c r="G46" i="23"/>
  <c r="F46" i="23"/>
  <c r="G45" i="23"/>
  <c r="F45" i="23"/>
  <c r="G44" i="23"/>
  <c r="F44" i="23"/>
  <c r="H43" i="23"/>
  <c r="G43" i="23"/>
  <c r="F43" i="23"/>
  <c r="G42" i="23"/>
  <c r="F42" i="23"/>
  <c r="G41" i="23"/>
  <c r="F41" i="23"/>
  <c r="G40" i="23"/>
  <c r="F40" i="23"/>
  <c r="G39" i="23"/>
  <c r="F39" i="23"/>
  <c r="G38" i="23"/>
  <c r="F38" i="23"/>
  <c r="G37" i="23"/>
  <c r="F37" i="23"/>
  <c r="G36" i="23"/>
  <c r="F36" i="23"/>
  <c r="J33" i="23"/>
  <c r="J32" i="23"/>
  <c r="J31" i="23"/>
  <c r="G30" i="23"/>
  <c r="F30" i="23"/>
  <c r="G29" i="23"/>
  <c r="F29" i="23"/>
  <c r="G28" i="23"/>
  <c r="F28" i="23"/>
  <c r="G27" i="23"/>
  <c r="F27" i="23"/>
  <c r="J24" i="23"/>
  <c r="G23" i="23"/>
  <c r="F23" i="23"/>
  <c r="G22" i="23"/>
  <c r="F22" i="23"/>
  <c r="G21" i="23"/>
  <c r="F21" i="23"/>
  <c r="G20" i="23"/>
  <c r="F20" i="23"/>
  <c r="G19" i="23"/>
  <c r="F19" i="23"/>
  <c r="G18" i="23"/>
  <c r="F18" i="23"/>
  <c r="G17" i="23"/>
  <c r="F17" i="23"/>
  <c r="G16" i="23"/>
  <c r="F16" i="23"/>
  <c r="G15" i="23"/>
  <c r="F15" i="23"/>
  <c r="G14" i="23"/>
  <c r="F14" i="23"/>
  <c r="G13" i="23"/>
  <c r="F13" i="23"/>
  <c r="G12" i="23"/>
  <c r="F12" i="23"/>
  <c r="G11" i="23"/>
  <c r="F11" i="23"/>
  <c r="G10" i="23"/>
  <c r="F10" i="23"/>
  <c r="J9" i="23"/>
  <c r="J8" i="23"/>
  <c r="G7" i="23"/>
  <c r="F7" i="23"/>
  <c r="J55" i="22"/>
  <c r="K54" i="22"/>
  <c r="J54" i="22"/>
  <c r="I54" i="22"/>
  <c r="J53" i="22"/>
  <c r="J52" i="22"/>
  <c r="J51" i="22"/>
  <c r="G50" i="22"/>
  <c r="F50" i="22"/>
  <c r="G49" i="22"/>
  <c r="F49" i="22"/>
  <c r="G48" i="22"/>
  <c r="F48" i="22"/>
  <c r="G47" i="22"/>
  <c r="F47" i="22"/>
  <c r="G46" i="22"/>
  <c r="F46" i="22"/>
  <c r="G45" i="22"/>
  <c r="F45" i="22"/>
  <c r="G44" i="22"/>
  <c r="F44" i="22"/>
  <c r="G43" i="22"/>
  <c r="F43" i="22"/>
  <c r="G42" i="22"/>
  <c r="F42" i="22"/>
  <c r="G41" i="22"/>
  <c r="F41" i="22"/>
  <c r="G40" i="22"/>
  <c r="F40" i="22"/>
  <c r="G39" i="22"/>
  <c r="F39" i="22"/>
  <c r="G38" i="22"/>
  <c r="F38" i="22"/>
  <c r="G37" i="22"/>
  <c r="F37" i="22"/>
  <c r="G36" i="22"/>
  <c r="F36" i="22"/>
  <c r="J33" i="22"/>
  <c r="J32" i="22"/>
  <c r="J31" i="22"/>
  <c r="G30" i="22"/>
  <c r="F30" i="22"/>
  <c r="G29" i="22"/>
  <c r="F29" i="22"/>
  <c r="G28" i="22"/>
  <c r="F28" i="22"/>
  <c r="G27" i="22"/>
  <c r="F27" i="22"/>
  <c r="J24" i="22"/>
  <c r="G23" i="22"/>
  <c r="F23" i="22"/>
  <c r="G22" i="22"/>
  <c r="F22" i="22"/>
  <c r="G21" i="22"/>
  <c r="F21" i="22"/>
  <c r="G20" i="22"/>
  <c r="F20" i="22"/>
  <c r="G19" i="22"/>
  <c r="F19" i="22"/>
  <c r="G18" i="22"/>
  <c r="F18" i="22"/>
  <c r="G17" i="22"/>
  <c r="F17" i="22"/>
  <c r="G16" i="22"/>
  <c r="F16" i="22"/>
  <c r="G15" i="22"/>
  <c r="F15" i="22"/>
  <c r="G14" i="22"/>
  <c r="F14" i="22"/>
  <c r="G13" i="22"/>
  <c r="F13" i="22"/>
  <c r="G12" i="22"/>
  <c r="F12" i="22"/>
  <c r="G11" i="22"/>
  <c r="F11" i="22"/>
  <c r="G10" i="22"/>
  <c r="F10" i="22"/>
  <c r="J9" i="22"/>
  <c r="J8" i="22"/>
  <c r="G7" i="22"/>
  <c r="F7" i="22"/>
  <c r="E30" i="21"/>
  <c r="D30" i="21"/>
  <c r="C30" i="21"/>
  <c r="F29" i="21"/>
  <c r="E29" i="21"/>
  <c r="D29" i="21"/>
  <c r="C29" i="21"/>
  <c r="E28" i="21"/>
  <c r="D28" i="21"/>
  <c r="C28" i="21"/>
  <c r="E27" i="21"/>
  <c r="D27" i="21"/>
  <c r="C27" i="21"/>
  <c r="E25" i="21"/>
  <c r="D25" i="21"/>
  <c r="C25" i="21"/>
  <c r="E24" i="21"/>
  <c r="D24" i="21"/>
  <c r="C24" i="21"/>
  <c r="E23" i="21"/>
  <c r="D23" i="21"/>
  <c r="C23" i="21"/>
  <c r="E22" i="21"/>
  <c r="D22" i="21"/>
  <c r="C22" i="21"/>
  <c r="E21" i="21"/>
  <c r="D21" i="21"/>
  <c r="C21" i="21"/>
  <c r="F19" i="21"/>
  <c r="E19" i="21"/>
  <c r="D19" i="21"/>
  <c r="C19" i="21"/>
  <c r="F18" i="21"/>
  <c r="E18" i="21"/>
  <c r="D18" i="21"/>
  <c r="C18" i="21"/>
  <c r="F17" i="21"/>
  <c r="E17" i="21"/>
  <c r="D17" i="21"/>
  <c r="C17" i="21"/>
  <c r="F16" i="21"/>
  <c r="E16" i="21"/>
  <c r="D16" i="21"/>
  <c r="C16" i="21"/>
  <c r="E15" i="21"/>
  <c r="D15" i="21"/>
  <c r="C15" i="21"/>
  <c r="E14" i="21"/>
  <c r="D14" i="21"/>
  <c r="C14" i="21"/>
  <c r="F13" i="21"/>
  <c r="E13" i="21"/>
  <c r="D13" i="21"/>
  <c r="C13" i="21"/>
  <c r="E12" i="21"/>
  <c r="D12" i="21"/>
  <c r="C12" i="21"/>
  <c r="F11" i="21"/>
  <c r="E11" i="21"/>
  <c r="D11" i="21"/>
  <c r="C11" i="21"/>
  <c r="F10" i="21"/>
  <c r="E10" i="21"/>
  <c r="D10" i="21"/>
  <c r="C10" i="21"/>
  <c r="E9" i="21"/>
  <c r="D9" i="21"/>
  <c r="C9" i="21"/>
  <c r="E8" i="21"/>
  <c r="D8" i="21"/>
  <c r="C8" i="21"/>
  <c r="E7" i="21"/>
  <c r="D7" i="21"/>
  <c r="C7" i="21"/>
  <c r="G358" i="20"/>
  <c r="G356" i="20"/>
  <c r="G354" i="20"/>
  <c r="G353" i="20"/>
  <c r="G352" i="20"/>
  <c r="I350" i="20"/>
  <c r="G350" i="20"/>
  <c r="F350" i="20"/>
  <c r="E350" i="20"/>
  <c r="I348" i="20"/>
  <c r="G348" i="20"/>
  <c r="F348" i="20"/>
  <c r="E348" i="20"/>
  <c r="I346" i="20"/>
  <c r="G346" i="20"/>
  <c r="F346" i="20"/>
  <c r="E346" i="20"/>
  <c r="F344" i="20"/>
  <c r="E344" i="20"/>
  <c r="D344" i="20"/>
  <c r="C344" i="20"/>
  <c r="G342" i="20"/>
  <c r="G340" i="20"/>
  <c r="G338" i="20"/>
  <c r="G337" i="20"/>
  <c r="G336" i="20"/>
  <c r="G334" i="20"/>
  <c r="F329" i="20"/>
  <c r="E329" i="20"/>
  <c r="D329" i="20"/>
  <c r="C329" i="20"/>
  <c r="G327" i="20"/>
  <c r="G325" i="20"/>
  <c r="G323" i="20"/>
  <c r="G322" i="20"/>
  <c r="G321" i="20"/>
  <c r="I318" i="20"/>
  <c r="G318" i="20"/>
  <c r="F318" i="20"/>
  <c r="E318" i="20"/>
  <c r="F315" i="20"/>
  <c r="E315" i="20"/>
  <c r="D315" i="20"/>
  <c r="C315" i="20"/>
  <c r="G313" i="20"/>
  <c r="G311" i="20"/>
  <c r="G309" i="20"/>
  <c r="G308" i="20"/>
  <c r="G307" i="20"/>
  <c r="I305" i="20"/>
  <c r="G305" i="20"/>
  <c r="F305" i="20"/>
  <c r="E305" i="20"/>
  <c r="I303" i="20"/>
  <c r="G303" i="20"/>
  <c r="F303" i="20"/>
  <c r="E303" i="20"/>
  <c r="F300" i="20"/>
  <c r="E300" i="20"/>
  <c r="D300" i="20"/>
  <c r="C300" i="20"/>
  <c r="G298" i="20"/>
  <c r="G296" i="20"/>
  <c r="G294" i="20"/>
  <c r="G293" i="20"/>
  <c r="G292" i="20"/>
  <c r="G289" i="20"/>
  <c r="G286" i="20"/>
  <c r="F284" i="20"/>
  <c r="E284" i="20"/>
  <c r="D284" i="20"/>
  <c r="C284" i="20"/>
  <c r="G282" i="20"/>
  <c r="G280" i="20"/>
  <c r="G278" i="20"/>
  <c r="G277" i="20"/>
  <c r="G276" i="20"/>
  <c r="I274" i="20"/>
  <c r="G274" i="20"/>
  <c r="F274" i="20"/>
  <c r="E274" i="20"/>
  <c r="I272" i="20"/>
  <c r="G272" i="20"/>
  <c r="F272" i="20"/>
  <c r="E272" i="20"/>
  <c r="I270" i="20"/>
  <c r="G270" i="20"/>
  <c r="F270" i="20"/>
  <c r="E270" i="20"/>
  <c r="I269" i="20"/>
  <c r="G269" i="20"/>
  <c r="F269" i="20"/>
  <c r="E269" i="20"/>
  <c r="F267" i="20"/>
  <c r="E267" i="20"/>
  <c r="D267" i="20"/>
  <c r="C267" i="20"/>
  <c r="G265" i="20"/>
  <c r="G263" i="20"/>
  <c r="G261" i="20"/>
  <c r="G260" i="20"/>
  <c r="G259" i="20"/>
  <c r="I257" i="20"/>
  <c r="G257" i="20"/>
  <c r="I256" i="20"/>
  <c r="G256" i="20"/>
  <c r="F256" i="20"/>
  <c r="E256" i="20"/>
  <c r="I255" i="20"/>
  <c r="G255" i="20"/>
  <c r="F255" i="20"/>
  <c r="E255" i="20"/>
  <c r="I254" i="20"/>
  <c r="G254" i="20"/>
  <c r="F254" i="20"/>
  <c r="E254" i="20"/>
  <c r="I252" i="20"/>
  <c r="G252" i="20"/>
  <c r="F252" i="20"/>
  <c r="E252" i="20"/>
  <c r="I250" i="20"/>
  <c r="G250" i="20"/>
  <c r="I249" i="20"/>
  <c r="G249" i="20"/>
  <c r="F249" i="20"/>
  <c r="E249" i="20"/>
  <c r="I248" i="20"/>
  <c r="G248" i="20"/>
  <c r="F248" i="20"/>
  <c r="E248" i="20"/>
  <c r="I247" i="20"/>
  <c r="G247" i="20"/>
  <c r="F247" i="20"/>
  <c r="E247" i="20"/>
  <c r="I246" i="20"/>
  <c r="G246" i="20"/>
  <c r="F246" i="20"/>
  <c r="E246" i="20"/>
  <c r="I245" i="20"/>
  <c r="G245" i="20"/>
  <c r="F245" i="20"/>
  <c r="E245" i="20"/>
  <c r="I244" i="20"/>
  <c r="G244" i="20"/>
  <c r="F244" i="20"/>
  <c r="E244" i="20"/>
  <c r="F242" i="20"/>
  <c r="E242" i="20"/>
  <c r="D242" i="20"/>
  <c r="C242" i="20"/>
  <c r="G240" i="20"/>
  <c r="G238" i="20"/>
  <c r="G236" i="20"/>
  <c r="G235" i="20"/>
  <c r="G234" i="20"/>
  <c r="I232" i="20"/>
  <c r="G232" i="20"/>
  <c r="I231" i="20"/>
  <c r="G231" i="20"/>
  <c r="F231" i="20"/>
  <c r="E231" i="20"/>
  <c r="I229" i="20"/>
  <c r="G229" i="20"/>
  <c r="F229" i="20"/>
  <c r="E229" i="20"/>
  <c r="I227" i="20"/>
  <c r="G227" i="20"/>
  <c r="I226" i="20"/>
  <c r="G226" i="20"/>
  <c r="F226" i="20"/>
  <c r="E226" i="20"/>
  <c r="I225" i="20"/>
  <c r="G225" i="20"/>
  <c r="F225" i="20"/>
  <c r="E225" i="20"/>
  <c r="F223" i="20"/>
  <c r="E223" i="20"/>
  <c r="D223" i="20"/>
  <c r="C223" i="20"/>
  <c r="G221" i="20"/>
  <c r="G219" i="20"/>
  <c r="G217" i="20"/>
  <c r="G216" i="20"/>
  <c r="G215" i="20"/>
  <c r="I212" i="20"/>
  <c r="G212" i="20"/>
  <c r="F212" i="20"/>
  <c r="E212" i="20"/>
  <c r="I210" i="20"/>
  <c r="G210" i="20"/>
  <c r="I209" i="20"/>
  <c r="G209" i="20"/>
  <c r="F209" i="20"/>
  <c r="E209" i="20"/>
  <c r="F207" i="20"/>
  <c r="E207" i="20"/>
  <c r="D207" i="20"/>
  <c r="C207" i="20"/>
  <c r="G205" i="20"/>
  <c r="G203" i="20"/>
  <c r="G201" i="20"/>
  <c r="G200" i="20"/>
  <c r="G199" i="20"/>
  <c r="G196" i="20"/>
  <c r="G193" i="20"/>
  <c r="F191" i="20"/>
  <c r="E191" i="20"/>
  <c r="D191" i="20"/>
  <c r="C191" i="20"/>
  <c r="G189" i="20"/>
  <c r="G187" i="20"/>
  <c r="G185" i="20"/>
  <c r="G184" i="20"/>
  <c r="G183" i="20"/>
  <c r="I181" i="20"/>
  <c r="G181" i="20"/>
  <c r="I180" i="20"/>
  <c r="G180" i="20"/>
  <c r="F180" i="20"/>
  <c r="E180" i="20"/>
  <c r="I178" i="20"/>
  <c r="G178" i="20"/>
  <c r="F178" i="20"/>
  <c r="E178" i="20"/>
  <c r="I176" i="20"/>
  <c r="G176" i="20"/>
  <c r="I175" i="20"/>
  <c r="G175" i="20"/>
  <c r="F175" i="20"/>
  <c r="E175" i="20"/>
  <c r="F173" i="20"/>
  <c r="E173" i="20"/>
  <c r="D173" i="20"/>
  <c r="C173" i="20"/>
  <c r="G171" i="20"/>
  <c r="G169" i="20"/>
  <c r="G167" i="20"/>
  <c r="G166" i="20"/>
  <c r="G165" i="20"/>
  <c r="G162" i="20"/>
  <c r="F158" i="20"/>
  <c r="E158" i="20"/>
  <c r="D158" i="20"/>
  <c r="C158" i="20"/>
  <c r="G156" i="20"/>
  <c r="G154" i="20"/>
  <c r="G152" i="20"/>
  <c r="G151" i="20"/>
  <c r="G150" i="20"/>
  <c r="G148" i="20"/>
  <c r="F143" i="20"/>
  <c r="E143" i="20"/>
  <c r="D143" i="20"/>
  <c r="C143" i="20"/>
  <c r="G141" i="20"/>
  <c r="G139" i="20"/>
  <c r="G137" i="20"/>
  <c r="G136" i="20"/>
  <c r="G135" i="20"/>
  <c r="I132" i="20"/>
  <c r="G132" i="20"/>
  <c r="F132" i="20"/>
  <c r="E132" i="20"/>
  <c r="I130" i="20"/>
  <c r="G130" i="20"/>
  <c r="F130" i="20"/>
  <c r="E130" i="20"/>
  <c r="F128" i="20"/>
  <c r="E128" i="20"/>
  <c r="D128" i="20"/>
  <c r="C128" i="20"/>
  <c r="G126" i="20"/>
  <c r="G124" i="20"/>
  <c r="G122" i="20"/>
  <c r="G121" i="20"/>
  <c r="G120" i="20"/>
  <c r="I118" i="20"/>
  <c r="G118" i="20"/>
  <c r="I117" i="20"/>
  <c r="G117" i="20"/>
  <c r="F117" i="20"/>
  <c r="E117" i="20"/>
  <c r="I116" i="20"/>
  <c r="G116" i="20"/>
  <c r="F116" i="20"/>
  <c r="E116" i="20"/>
  <c r="I114" i="20"/>
  <c r="G114" i="20"/>
  <c r="F114" i="20"/>
  <c r="E114" i="20"/>
  <c r="I112" i="20"/>
  <c r="G112" i="20"/>
  <c r="F112" i="20"/>
  <c r="E112" i="20"/>
  <c r="F110" i="20"/>
  <c r="E110" i="20"/>
  <c r="D110" i="20"/>
  <c r="C110" i="20"/>
  <c r="G108" i="20"/>
  <c r="G106" i="20"/>
  <c r="G104" i="20"/>
  <c r="G103" i="20"/>
  <c r="G102" i="20"/>
  <c r="I100" i="20"/>
  <c r="G100" i="20"/>
  <c r="F100" i="20"/>
  <c r="E100" i="20"/>
  <c r="F96" i="20"/>
  <c r="E96" i="20"/>
  <c r="D96" i="20"/>
  <c r="C96" i="20"/>
  <c r="G94" i="20"/>
  <c r="G92" i="20"/>
  <c r="G90" i="20"/>
  <c r="G89" i="20"/>
  <c r="G88" i="20"/>
  <c r="I86" i="20"/>
  <c r="G86" i="20"/>
  <c r="F86" i="20"/>
  <c r="E86" i="20"/>
  <c r="I84" i="20"/>
  <c r="G84" i="20"/>
  <c r="F84" i="20"/>
  <c r="E84" i="20"/>
  <c r="F81" i="20"/>
  <c r="E81" i="20"/>
  <c r="D81" i="20"/>
  <c r="C81" i="20"/>
  <c r="G79" i="20"/>
  <c r="G77" i="20"/>
  <c r="G75" i="20"/>
  <c r="G74" i="20"/>
  <c r="G73" i="20"/>
  <c r="G71" i="20"/>
  <c r="F66" i="20"/>
  <c r="E66" i="20"/>
  <c r="D66" i="20"/>
  <c r="C66" i="20"/>
  <c r="G64" i="20"/>
  <c r="G62" i="20"/>
  <c r="G60" i="20"/>
  <c r="G59" i="20"/>
  <c r="G58" i="20"/>
  <c r="G56" i="20"/>
  <c r="F51" i="20"/>
  <c r="E51" i="20"/>
  <c r="D51" i="20"/>
  <c r="C51" i="20"/>
  <c r="G49" i="20"/>
  <c r="G47" i="20"/>
  <c r="J45" i="20"/>
  <c r="G45" i="20"/>
  <c r="G44" i="20"/>
  <c r="G43" i="20"/>
  <c r="I41" i="20"/>
  <c r="H41" i="20"/>
  <c r="J41" i="20" s="1"/>
  <c r="J40" i="20" s="1"/>
  <c r="J42" i="20" s="1"/>
  <c r="G41" i="20"/>
  <c r="F41" i="20"/>
  <c r="E41" i="20"/>
  <c r="F37" i="20"/>
  <c r="E37" i="20"/>
  <c r="D37" i="20"/>
  <c r="C37" i="20"/>
  <c r="G35" i="20"/>
  <c r="G33" i="20"/>
  <c r="G31" i="20"/>
  <c r="G30" i="20"/>
  <c r="G29" i="20"/>
  <c r="I27" i="20"/>
  <c r="G27" i="20"/>
  <c r="F27" i="20"/>
  <c r="E27" i="20"/>
  <c r="I25" i="20"/>
  <c r="H25" i="20"/>
  <c r="G25" i="20"/>
  <c r="F25" i="20"/>
  <c r="E25" i="20"/>
  <c r="F22" i="20"/>
  <c r="E22" i="20"/>
  <c r="D22" i="20"/>
  <c r="C22" i="20"/>
  <c r="G20" i="20"/>
  <c r="G18" i="20"/>
  <c r="G16" i="20"/>
  <c r="G15" i="20"/>
  <c r="G14" i="20"/>
  <c r="I12" i="20"/>
  <c r="G12" i="20"/>
  <c r="F12" i="20"/>
  <c r="E12" i="20"/>
  <c r="I11" i="20"/>
  <c r="H11" i="20"/>
  <c r="G11" i="20"/>
  <c r="F11" i="20"/>
  <c r="E11" i="20"/>
  <c r="I9" i="20"/>
  <c r="G9" i="20"/>
  <c r="F9" i="20"/>
  <c r="E9" i="20"/>
  <c r="F6" i="20"/>
  <c r="E6" i="20"/>
  <c r="D6" i="20"/>
  <c r="C6" i="20"/>
  <c r="G60" i="19"/>
  <c r="H60" i="19" s="1"/>
  <c r="G59" i="19"/>
  <c r="H58" i="19"/>
  <c r="G58" i="19"/>
  <c r="G57" i="19"/>
  <c r="H57" i="19" s="1"/>
  <c r="H56" i="19"/>
  <c r="G56" i="19"/>
  <c r="H55" i="19"/>
  <c r="H50" i="19" s="1"/>
  <c r="G54" i="19"/>
  <c r="H54" i="19" s="1"/>
  <c r="H53" i="19"/>
  <c r="G52" i="19"/>
  <c r="H52" i="19" s="1"/>
  <c r="G51" i="19"/>
  <c r="H51" i="19" s="1"/>
  <c r="G50" i="19"/>
  <c r="H49" i="19"/>
  <c r="G49" i="19"/>
  <c r="G48" i="19"/>
  <c r="H48" i="19" s="1"/>
  <c r="G47" i="19"/>
  <c r="H47" i="19" s="1"/>
  <c r="H46" i="19"/>
  <c r="G46" i="19"/>
  <c r="H45" i="19"/>
  <c r="G45" i="19"/>
  <c r="H44" i="19"/>
  <c r="G44" i="19"/>
  <c r="G43" i="19"/>
  <c r="H43" i="19" s="1"/>
  <c r="G42" i="19"/>
  <c r="H42" i="19" s="1"/>
  <c r="G41" i="19"/>
  <c r="H41" i="19" s="1"/>
  <c r="H40" i="19"/>
  <c r="G40" i="19"/>
  <c r="G39" i="19"/>
  <c r="H39" i="19" s="1"/>
  <c r="G38" i="19"/>
  <c r="H38" i="19" s="1"/>
  <c r="G37" i="19"/>
  <c r="H37" i="19" s="1"/>
  <c r="H36" i="19"/>
  <c r="G36" i="19"/>
  <c r="H33" i="19"/>
  <c r="G33" i="19"/>
  <c r="H32" i="19"/>
  <c r="G32" i="19"/>
  <c r="G31" i="19"/>
  <c r="H31" i="19" s="1"/>
  <c r="H30" i="19"/>
  <c r="G30" i="19"/>
  <c r="C30" i="19"/>
  <c r="H29" i="19"/>
  <c r="G29" i="19"/>
  <c r="C29" i="19"/>
  <c r="H28" i="19"/>
  <c r="G28" i="19"/>
  <c r="H27" i="19"/>
  <c r="G27" i="19"/>
  <c r="G26" i="19"/>
  <c r="H26" i="19" s="1"/>
  <c r="G25" i="19"/>
  <c r="H25" i="19" s="1"/>
  <c r="H24" i="19"/>
  <c r="G24" i="19"/>
  <c r="G23" i="19"/>
  <c r="H23" i="19" s="1"/>
  <c r="G22" i="19"/>
  <c r="H22" i="19" s="1"/>
  <c r="G21" i="19"/>
  <c r="H21" i="19" s="1"/>
  <c r="H20" i="19"/>
  <c r="G20" i="19"/>
  <c r="H19" i="19"/>
  <c r="G19" i="19"/>
  <c r="G18" i="19"/>
  <c r="H18" i="19" s="1"/>
  <c r="G17" i="19"/>
  <c r="H17" i="19" s="1"/>
  <c r="H16" i="19"/>
  <c r="G16" i="19"/>
  <c r="H15" i="19"/>
  <c r="G15" i="19"/>
  <c r="G14" i="19"/>
  <c r="H14" i="19" s="1"/>
  <c r="H13" i="19"/>
  <c r="G13" i="19"/>
  <c r="H12" i="19"/>
  <c r="H9" i="19"/>
  <c r="G9" i="19"/>
  <c r="F9" i="19"/>
  <c r="C1" i="40" s="1"/>
  <c r="J12" i="18"/>
  <c r="I12" i="18"/>
  <c r="I5" i="18"/>
  <c r="H1" i="18"/>
  <c r="I4" i="18" s="1"/>
  <c r="I109" i="17"/>
  <c r="I108" i="17"/>
  <c r="I107" i="17"/>
  <c r="I106" i="17"/>
  <c r="N105" i="17"/>
  <c r="I104" i="17"/>
  <c r="I100" i="17" s="1"/>
  <c r="I103" i="17"/>
  <c r="I102" i="17"/>
  <c r="I101" i="17"/>
  <c r="N100" i="17"/>
  <c r="I99" i="17"/>
  <c r="I98" i="17"/>
  <c r="I97" i="17"/>
  <c r="I96" i="17"/>
  <c r="N95" i="17"/>
  <c r="K95" i="17"/>
  <c r="I95" i="17"/>
  <c r="I94" i="17"/>
  <c r="I93" i="17"/>
  <c r="I92" i="17"/>
  <c r="I90" i="17" s="1"/>
  <c r="O90" i="17" s="1"/>
  <c r="I91" i="17"/>
  <c r="N90" i="17"/>
  <c r="I89" i="17"/>
  <c r="I88" i="17"/>
  <c r="I87" i="17"/>
  <c r="I86" i="17"/>
  <c r="I85" i="17"/>
  <c r="I84" i="17"/>
  <c r="I83" i="17"/>
  <c r="I82" i="17"/>
  <c r="I81" i="17"/>
  <c r="I80" i="17"/>
  <c r="I79" i="17"/>
  <c r="I78" i="17"/>
  <c r="I77" i="17"/>
  <c r="I76" i="17"/>
  <c r="I75" i="17"/>
  <c r="I74" i="17"/>
  <c r="I73" i="17" s="1"/>
  <c r="N73" i="17"/>
  <c r="I72" i="17"/>
  <c r="I71" i="17"/>
  <c r="I70" i="17"/>
  <c r="I69" i="17"/>
  <c r="I68" i="17"/>
  <c r="I67" i="17"/>
  <c r="I66" i="17"/>
  <c r="I65" i="17"/>
  <c r="I64" i="17"/>
  <c r="I63" i="17"/>
  <c r="I62" i="17"/>
  <c r="I61" i="17"/>
  <c r="I56" i="17" s="1"/>
  <c r="I60" i="17"/>
  <c r="I59" i="17"/>
  <c r="I58" i="17"/>
  <c r="I57" i="17"/>
  <c r="N56" i="17"/>
  <c r="I55" i="17"/>
  <c r="I54" i="17"/>
  <c r="I53" i="17"/>
  <c r="I52" i="17"/>
  <c r="I51" i="17"/>
  <c r="I50" i="17"/>
  <c r="I49" i="17"/>
  <c r="I48" i="17"/>
  <c r="I47" i="17"/>
  <c r="I46" i="17"/>
  <c r="I45" i="17"/>
  <c r="I44" i="17"/>
  <c r="I43" i="17"/>
  <c r="I42" i="17"/>
  <c r="I41" i="17"/>
  <c r="I40" i="17"/>
  <c r="I39" i="17"/>
  <c r="I38" i="17"/>
  <c r="I37" i="17"/>
  <c r="I36" i="17"/>
  <c r="I35" i="17"/>
  <c r="I31" i="17" s="1"/>
  <c r="I34" i="17"/>
  <c r="I33" i="17"/>
  <c r="I32" i="17"/>
  <c r="N31" i="17"/>
  <c r="I30" i="17"/>
  <c r="I29" i="17"/>
  <c r="I28" i="17"/>
  <c r="I27" i="17"/>
  <c r="I26" i="17"/>
  <c r="I25" i="17"/>
  <c r="I24" i="17"/>
  <c r="I23" i="17"/>
  <c r="I22" i="17"/>
  <c r="I21" i="17"/>
  <c r="I20" i="17"/>
  <c r="I19" i="17"/>
  <c r="I18" i="17"/>
  <c r="I17" i="17"/>
  <c r="I16" i="17"/>
  <c r="I15" i="17"/>
  <c r="I14" i="17"/>
  <c r="I13" i="17"/>
  <c r="I12" i="17"/>
  <c r="I11" i="17"/>
  <c r="I10" i="17"/>
  <c r="I9" i="17"/>
  <c r="I8" i="17"/>
  <c r="I7" i="17"/>
  <c r="N6" i="17"/>
  <c r="U50" i="13"/>
  <c r="M49" i="13"/>
  <c r="K49" i="13"/>
  <c r="I49" i="13"/>
  <c r="H49" i="13"/>
  <c r="F49" i="13"/>
  <c r="E49" i="13"/>
  <c r="C49" i="13"/>
  <c r="R48" i="13"/>
  <c r="O48" i="13"/>
  <c r="M48" i="13"/>
  <c r="K48" i="13"/>
  <c r="I48" i="13"/>
  <c r="H48" i="13"/>
  <c r="F48" i="13"/>
  <c r="E48" i="13"/>
  <c r="C48" i="13"/>
  <c r="M47" i="13"/>
  <c r="K47" i="13"/>
  <c r="I47" i="13"/>
  <c r="H47" i="13"/>
  <c r="F47" i="13"/>
  <c r="E47" i="13"/>
  <c r="C47" i="13"/>
  <c r="R46" i="13"/>
  <c r="O46" i="13"/>
  <c r="M46" i="13"/>
  <c r="K46" i="13"/>
  <c r="I46" i="13"/>
  <c r="J46" i="13" s="1"/>
  <c r="H46" i="13"/>
  <c r="G46" i="13"/>
  <c r="F46" i="13"/>
  <c r="E46" i="13"/>
  <c r="C46" i="13"/>
  <c r="I44" i="13"/>
  <c r="H44" i="13"/>
  <c r="G44" i="13"/>
  <c r="F44" i="13"/>
  <c r="E44" i="13"/>
  <c r="C44" i="13"/>
  <c r="Z43" i="13"/>
  <c r="R43" i="13"/>
  <c r="O43" i="13"/>
  <c r="I42" i="13"/>
  <c r="J42" i="13" s="1"/>
  <c r="J41" i="13" s="1"/>
  <c r="H42" i="13"/>
  <c r="G42" i="13"/>
  <c r="F42" i="13"/>
  <c r="E42" i="13"/>
  <c r="C42" i="13"/>
  <c r="V41" i="13"/>
  <c r="I40" i="13"/>
  <c r="H40" i="13"/>
  <c r="G40" i="13"/>
  <c r="F40" i="13"/>
  <c r="E40" i="13"/>
  <c r="C40" i="13"/>
  <c r="V39" i="13"/>
  <c r="J38" i="13"/>
  <c r="I38" i="13"/>
  <c r="H38" i="13"/>
  <c r="G38" i="13"/>
  <c r="F38" i="13"/>
  <c r="E38" i="13"/>
  <c r="C38" i="13"/>
  <c r="V37" i="13"/>
  <c r="J37" i="13"/>
  <c r="I36" i="13"/>
  <c r="H36" i="13"/>
  <c r="F36" i="13"/>
  <c r="E36" i="13"/>
  <c r="C36" i="13"/>
  <c r="R35" i="13"/>
  <c r="M35" i="13"/>
  <c r="O35" i="13" s="1"/>
  <c r="K35" i="13"/>
  <c r="E35" i="13"/>
  <c r="D35" i="13"/>
  <c r="I34" i="13"/>
  <c r="H34" i="13"/>
  <c r="J34" i="13" s="1"/>
  <c r="J33" i="13" s="1"/>
  <c r="G34" i="13"/>
  <c r="F34" i="13"/>
  <c r="E34" i="13"/>
  <c r="C34" i="13"/>
  <c r="R33" i="13"/>
  <c r="M33" i="13"/>
  <c r="O33" i="13" s="1"/>
  <c r="P33" i="13" s="1"/>
  <c r="K33" i="13"/>
  <c r="E33" i="13"/>
  <c r="D33" i="13"/>
  <c r="I32" i="13"/>
  <c r="H32" i="13"/>
  <c r="F32" i="13"/>
  <c r="E32" i="13"/>
  <c r="C32" i="13"/>
  <c r="R31" i="13"/>
  <c r="M31" i="13"/>
  <c r="O31" i="13" s="1"/>
  <c r="K31" i="13"/>
  <c r="E31" i="13"/>
  <c r="D31" i="13"/>
  <c r="I30" i="13"/>
  <c r="H30" i="13"/>
  <c r="F30" i="13"/>
  <c r="E30" i="13"/>
  <c r="C30" i="13"/>
  <c r="R29" i="13"/>
  <c r="M29" i="13"/>
  <c r="O29" i="13" s="1"/>
  <c r="K29" i="13"/>
  <c r="E29" i="13"/>
  <c r="D29" i="13"/>
  <c r="I28" i="13"/>
  <c r="H28" i="13"/>
  <c r="F28" i="13"/>
  <c r="E28" i="13"/>
  <c r="C28" i="13"/>
  <c r="R27" i="13"/>
  <c r="M27" i="13"/>
  <c r="O27" i="13" s="1"/>
  <c r="K27" i="13"/>
  <c r="E27" i="13"/>
  <c r="D27" i="13"/>
  <c r="I26" i="13"/>
  <c r="H26" i="13"/>
  <c r="F26" i="13"/>
  <c r="E26" i="13"/>
  <c r="C26" i="13"/>
  <c r="R25" i="13"/>
  <c r="M25" i="13"/>
  <c r="O25" i="13" s="1"/>
  <c r="K25" i="13"/>
  <c r="E25" i="13"/>
  <c r="D25" i="13"/>
  <c r="I24" i="13"/>
  <c r="H24" i="13"/>
  <c r="F24" i="13"/>
  <c r="E24" i="13"/>
  <c r="C24" i="13"/>
  <c r="R23" i="13"/>
  <c r="M23" i="13"/>
  <c r="O23" i="13" s="1"/>
  <c r="K23" i="13"/>
  <c r="E23" i="13"/>
  <c r="D23" i="13"/>
  <c r="I22" i="13"/>
  <c r="H22" i="13"/>
  <c r="F22" i="13"/>
  <c r="E22" i="13"/>
  <c r="C22" i="13"/>
  <c r="R21" i="13"/>
  <c r="M21" i="13"/>
  <c r="O21" i="13" s="1"/>
  <c r="K21" i="13"/>
  <c r="E21" i="13"/>
  <c r="D21" i="13"/>
  <c r="I20" i="13"/>
  <c r="H20" i="13"/>
  <c r="F20" i="13"/>
  <c r="E20" i="13"/>
  <c r="C20" i="13"/>
  <c r="I19" i="13"/>
  <c r="H19" i="13"/>
  <c r="F19" i="13"/>
  <c r="E19" i="13"/>
  <c r="C19" i="13"/>
  <c r="O18" i="13"/>
  <c r="M18" i="13"/>
  <c r="R18" i="13" s="1"/>
  <c r="K18" i="13"/>
  <c r="E18" i="13"/>
  <c r="D18" i="13"/>
  <c r="I17" i="13"/>
  <c r="H17" i="13"/>
  <c r="F17" i="13"/>
  <c r="E17" i="13"/>
  <c r="C17" i="13"/>
  <c r="Z16" i="13"/>
  <c r="X16" i="13"/>
  <c r="O16" i="13"/>
  <c r="M16" i="13"/>
  <c r="R16" i="13" s="1"/>
  <c r="K16" i="13"/>
  <c r="E16" i="13"/>
  <c r="D16" i="13"/>
  <c r="I15" i="13"/>
  <c r="H15" i="13"/>
  <c r="F15" i="13"/>
  <c r="E15" i="13"/>
  <c r="C15" i="13"/>
  <c r="Z14" i="13"/>
  <c r="X14" i="13"/>
  <c r="O14" i="13"/>
  <c r="M14" i="13"/>
  <c r="R14" i="13" s="1"/>
  <c r="K14" i="13"/>
  <c r="E14" i="13"/>
  <c r="D14" i="13"/>
  <c r="I13" i="13"/>
  <c r="H13" i="13"/>
  <c r="F13" i="13"/>
  <c r="E13" i="13"/>
  <c r="C13" i="13"/>
  <c r="Z12" i="13"/>
  <c r="X12" i="13"/>
  <c r="O12" i="13"/>
  <c r="M12" i="13"/>
  <c r="R12" i="13" s="1"/>
  <c r="K12" i="13"/>
  <c r="E12" i="13"/>
  <c r="D12" i="13"/>
  <c r="I11" i="13"/>
  <c r="H11" i="13"/>
  <c r="F11" i="13"/>
  <c r="E11" i="13"/>
  <c r="C11" i="13"/>
  <c r="Z10" i="13"/>
  <c r="X10" i="13"/>
  <c r="O10" i="13"/>
  <c r="M10" i="13"/>
  <c r="R10" i="13" s="1"/>
  <c r="K10" i="13"/>
  <c r="E10" i="13"/>
  <c r="D10" i="13"/>
  <c r="J9" i="13"/>
  <c r="J8" i="13" s="1"/>
  <c r="I9" i="13"/>
  <c r="H9" i="13"/>
  <c r="G9" i="13"/>
  <c r="F9" i="13"/>
  <c r="E9" i="13"/>
  <c r="C9" i="13"/>
  <c r="O8" i="13"/>
  <c r="M8" i="13"/>
  <c r="R8" i="13" s="1"/>
  <c r="K8" i="13"/>
  <c r="E8" i="13"/>
  <c r="D8" i="13"/>
  <c r="I7" i="13"/>
  <c r="H7" i="13"/>
  <c r="F7" i="13"/>
  <c r="E7" i="13"/>
  <c r="C7" i="13"/>
  <c r="O6" i="13"/>
  <c r="M6" i="13"/>
  <c r="R6" i="13" s="1"/>
  <c r="K6" i="13"/>
  <c r="E6" i="13"/>
  <c r="D6" i="13"/>
  <c r="O19" i="12"/>
  <c r="N19" i="12"/>
  <c r="V35" i="13" s="1"/>
  <c r="J19" i="12"/>
  <c r="O18" i="12"/>
  <c r="N18" i="12"/>
  <c r="V33" i="13" s="1"/>
  <c r="J18" i="12"/>
  <c r="O17" i="12"/>
  <c r="N17" i="12"/>
  <c r="V31" i="13" s="1"/>
  <c r="J17" i="12"/>
  <c r="O16" i="12"/>
  <c r="X29" i="13" s="1"/>
  <c r="Z29" i="13" s="1"/>
  <c r="N16" i="12"/>
  <c r="V29" i="13" s="1"/>
  <c r="J16" i="12"/>
  <c r="O15" i="12"/>
  <c r="N15" i="12"/>
  <c r="V27" i="13" s="1"/>
  <c r="J15" i="12"/>
  <c r="O14" i="12"/>
  <c r="N14" i="12"/>
  <c r="V25" i="13" s="1"/>
  <c r="J14" i="12"/>
  <c r="O13" i="12"/>
  <c r="X23" i="13" s="1"/>
  <c r="Z23" i="13" s="1"/>
  <c r="N13" i="12"/>
  <c r="V23" i="13" s="1"/>
  <c r="J13" i="12"/>
  <c r="O12" i="12"/>
  <c r="N12" i="12"/>
  <c r="V21" i="13" s="1"/>
  <c r="J12" i="12"/>
  <c r="O11" i="12"/>
  <c r="N11" i="12"/>
  <c r="V18" i="13" s="1"/>
  <c r="J11" i="12"/>
  <c r="O10" i="12"/>
  <c r="N10" i="12"/>
  <c r="V16" i="13" s="1"/>
  <c r="J10" i="12"/>
  <c r="O9" i="12"/>
  <c r="N9" i="12"/>
  <c r="V14" i="13" s="1"/>
  <c r="J9" i="12"/>
  <c r="O8" i="12"/>
  <c r="N8" i="12"/>
  <c r="V12" i="13" s="1"/>
  <c r="J8" i="12"/>
  <c r="O7" i="12"/>
  <c r="N7" i="12"/>
  <c r="V10" i="13" s="1"/>
  <c r="J7" i="12"/>
  <c r="O6" i="12"/>
  <c r="H37" i="23" s="1"/>
  <c r="N6" i="12"/>
  <c r="V8" i="13" s="1"/>
  <c r="J6" i="12"/>
  <c r="O5" i="12"/>
  <c r="H36" i="22" s="1"/>
  <c r="N5" i="12"/>
  <c r="V6" i="13" s="1"/>
  <c r="J5" i="12"/>
  <c r="N12" i="11"/>
  <c r="K12" i="11"/>
  <c r="J12" i="11"/>
  <c r="I12" i="11"/>
  <c r="H12" i="11"/>
  <c r="G12" i="11"/>
  <c r="K11" i="11"/>
  <c r="J11" i="11"/>
  <c r="I11" i="11"/>
  <c r="H11" i="11"/>
  <c r="G11" i="11"/>
  <c r="N10" i="11"/>
  <c r="M10" i="11"/>
  <c r="L10" i="11"/>
  <c r="K10" i="11"/>
  <c r="J10" i="11"/>
  <c r="I10" i="11"/>
  <c r="H10" i="11"/>
  <c r="G10" i="11"/>
  <c r="O9" i="11"/>
  <c r="K9" i="11"/>
  <c r="J9" i="11"/>
  <c r="I9" i="11"/>
  <c r="H9" i="11"/>
  <c r="G9" i="11"/>
  <c r="J28" i="10"/>
  <c r="AA28" i="10" s="1"/>
  <c r="I28" i="10"/>
  <c r="H28" i="10"/>
  <c r="G28" i="10"/>
  <c r="F28" i="10"/>
  <c r="E28" i="10"/>
  <c r="C28" i="10"/>
  <c r="A28" i="10"/>
  <c r="Z27" i="10"/>
  <c r="R27" i="10"/>
  <c r="O27" i="10"/>
  <c r="I26" i="10"/>
  <c r="H26" i="10"/>
  <c r="G26" i="10"/>
  <c r="F26" i="10"/>
  <c r="E26" i="10"/>
  <c r="C26" i="10"/>
  <c r="A26" i="10"/>
  <c r="Z25" i="10"/>
  <c r="R25" i="10"/>
  <c r="O25" i="10"/>
  <c r="I24" i="10"/>
  <c r="H24" i="10"/>
  <c r="F24" i="10"/>
  <c r="E24" i="10"/>
  <c r="C24" i="10"/>
  <c r="A24" i="10"/>
  <c r="Z23" i="10"/>
  <c r="R23" i="10"/>
  <c r="O23" i="10"/>
  <c r="I22" i="10"/>
  <c r="H22" i="10"/>
  <c r="F22" i="10"/>
  <c r="E22" i="10"/>
  <c r="C22" i="10"/>
  <c r="A22" i="10"/>
  <c r="R21" i="10"/>
  <c r="O21" i="10"/>
  <c r="M21" i="10"/>
  <c r="K21" i="10"/>
  <c r="E21" i="10"/>
  <c r="D21" i="10"/>
  <c r="I20" i="10"/>
  <c r="H20" i="10"/>
  <c r="F20" i="10"/>
  <c r="E20" i="10"/>
  <c r="C20" i="10"/>
  <c r="A20" i="10"/>
  <c r="I19" i="10"/>
  <c r="H19" i="10"/>
  <c r="F19" i="10"/>
  <c r="E19" i="10"/>
  <c r="C19" i="10"/>
  <c r="A19" i="10"/>
  <c r="I18" i="10"/>
  <c r="H18" i="10"/>
  <c r="F18" i="10"/>
  <c r="E18" i="10"/>
  <c r="C18" i="10"/>
  <c r="A18" i="10"/>
  <c r="I17" i="10"/>
  <c r="H17" i="10"/>
  <c r="F17" i="10"/>
  <c r="E17" i="10"/>
  <c r="C17" i="10"/>
  <c r="A17" i="10"/>
  <c r="I16" i="10"/>
  <c r="J16" i="10" s="1"/>
  <c r="H16" i="10"/>
  <c r="G16" i="10"/>
  <c r="F16" i="10"/>
  <c r="E16" i="10"/>
  <c r="C16" i="10"/>
  <c r="A16" i="10"/>
  <c r="Z15" i="10"/>
  <c r="X15" i="10"/>
  <c r="M15" i="10"/>
  <c r="K15" i="10"/>
  <c r="E15" i="10"/>
  <c r="D15" i="10"/>
  <c r="I14" i="10"/>
  <c r="H14" i="10"/>
  <c r="F14" i="10"/>
  <c r="E14" i="10"/>
  <c r="C14" i="10"/>
  <c r="A14" i="10"/>
  <c r="I13" i="10"/>
  <c r="H13" i="10"/>
  <c r="F13" i="10"/>
  <c r="E13" i="10"/>
  <c r="C13" i="10"/>
  <c r="A13" i="10"/>
  <c r="R12" i="10"/>
  <c r="O12" i="10"/>
  <c r="M12" i="10"/>
  <c r="K12" i="10"/>
  <c r="E12" i="10"/>
  <c r="D12" i="10"/>
  <c r="I11" i="10"/>
  <c r="H11" i="10"/>
  <c r="F11" i="10"/>
  <c r="E11" i="10"/>
  <c r="C11" i="10"/>
  <c r="A11" i="10"/>
  <c r="I10" i="10"/>
  <c r="H10" i="10"/>
  <c r="F10" i="10"/>
  <c r="E10" i="10"/>
  <c r="C10" i="10"/>
  <c r="A10" i="10"/>
  <c r="I9" i="10"/>
  <c r="H9" i="10"/>
  <c r="F9" i="10"/>
  <c r="E9" i="10"/>
  <c r="C9" i="10"/>
  <c r="A9" i="10"/>
  <c r="I8" i="10"/>
  <c r="H8" i="10"/>
  <c r="F8" i="10"/>
  <c r="E8" i="10"/>
  <c r="C8" i="10"/>
  <c r="A8" i="10"/>
  <c r="I7" i="10"/>
  <c r="H7" i="10"/>
  <c r="F7" i="10"/>
  <c r="E7" i="10"/>
  <c r="C7" i="10"/>
  <c r="A7" i="10"/>
  <c r="X6" i="10"/>
  <c r="Z6" i="10" s="1"/>
  <c r="M6" i="10"/>
  <c r="R6" i="10" s="1"/>
  <c r="K6" i="10"/>
  <c r="O6" i="10" s="1"/>
  <c r="E6" i="10"/>
  <c r="D6" i="10"/>
  <c r="K8" i="9"/>
  <c r="X21" i="10" s="1"/>
  <c r="Z21" i="10" s="1"/>
  <c r="J8" i="9"/>
  <c r="K7" i="9"/>
  <c r="H252" i="20" s="1"/>
  <c r="J252" i="20" s="1"/>
  <c r="J251" i="20" s="1"/>
  <c r="J7" i="9"/>
  <c r="K6" i="9"/>
  <c r="P55" i="25" s="1"/>
  <c r="J6" i="9"/>
  <c r="K5" i="9"/>
  <c r="H84" i="20" s="1"/>
  <c r="J84" i="20" s="1"/>
  <c r="J83" i="20" s="1"/>
  <c r="J5" i="9"/>
  <c r="O20" i="8"/>
  <c r="Q20" i="8" s="1"/>
  <c r="S19" i="8"/>
  <c r="Q19" i="8"/>
  <c r="P19" i="8"/>
  <c r="O19" i="8"/>
  <c r="Q18" i="8"/>
  <c r="P18" i="8"/>
  <c r="O18" i="8"/>
  <c r="S18" i="8" s="1"/>
  <c r="Q17" i="8"/>
  <c r="O17" i="8"/>
  <c r="P17" i="8" s="1"/>
  <c r="S17" i="8" s="1"/>
  <c r="P16" i="2" s="1"/>
  <c r="O16" i="8"/>
  <c r="Q16" i="8" s="1"/>
  <c r="Q15" i="8"/>
  <c r="O15" i="8"/>
  <c r="P15" i="8" s="1"/>
  <c r="S15" i="8" s="1"/>
  <c r="P14" i="2" s="1"/>
  <c r="Q14" i="8"/>
  <c r="P14" i="8"/>
  <c r="O14" i="8"/>
  <c r="S14" i="8" s="1"/>
  <c r="S13" i="8"/>
  <c r="Q13" i="8"/>
  <c r="O13" i="8"/>
  <c r="P13" i="8" s="1"/>
  <c r="Q12" i="8"/>
  <c r="P12" i="8"/>
  <c r="O12" i="8"/>
  <c r="S12" i="8" s="1"/>
  <c r="Q11" i="8"/>
  <c r="O11" i="8"/>
  <c r="P11" i="8" s="1"/>
  <c r="S11" i="8" s="1"/>
  <c r="P10" i="2" s="1"/>
  <c r="O10" i="8"/>
  <c r="Q10" i="8" s="1"/>
  <c r="Q9" i="8"/>
  <c r="O9" i="8"/>
  <c r="P9" i="8" s="1"/>
  <c r="S9" i="8" s="1"/>
  <c r="P8" i="2" s="1"/>
  <c r="Q8" i="8"/>
  <c r="P8" i="8"/>
  <c r="O8" i="8"/>
  <c r="S8" i="8" s="1"/>
  <c r="S7" i="8"/>
  <c r="Q7" i="8"/>
  <c r="O7" i="8"/>
  <c r="P7" i="8" s="1"/>
  <c r="Q6" i="8"/>
  <c r="P6" i="8"/>
  <c r="O6" i="8"/>
  <c r="S6" i="8" s="1"/>
  <c r="N20" i="7"/>
  <c r="P20" i="7" s="1"/>
  <c r="O19" i="2" s="1"/>
  <c r="L20" i="7"/>
  <c r="M20" i="7" s="1"/>
  <c r="P19" i="7"/>
  <c r="N19" i="7"/>
  <c r="L19" i="7"/>
  <c r="M19" i="7" s="1"/>
  <c r="N18" i="7"/>
  <c r="P18" i="7" s="1"/>
  <c r="O17" i="2" s="1"/>
  <c r="L18" i="7"/>
  <c r="M18" i="7" s="1"/>
  <c r="P17" i="7"/>
  <c r="N17" i="7"/>
  <c r="L17" i="7"/>
  <c r="M17" i="7" s="1"/>
  <c r="N16" i="7"/>
  <c r="P16" i="7" s="1"/>
  <c r="O15" i="2" s="1"/>
  <c r="L16" i="7"/>
  <c r="M16" i="7" s="1"/>
  <c r="P15" i="7"/>
  <c r="N15" i="7"/>
  <c r="L15" i="7"/>
  <c r="M15" i="7" s="1"/>
  <c r="P14" i="7"/>
  <c r="N14" i="7"/>
  <c r="L14" i="7"/>
  <c r="M14" i="7" s="1"/>
  <c r="P13" i="7"/>
  <c r="N13" i="7"/>
  <c r="L13" i="7"/>
  <c r="M13" i="7" s="1"/>
  <c r="N12" i="7"/>
  <c r="P12" i="7" s="1"/>
  <c r="O11" i="2" s="1"/>
  <c r="L12" i="7"/>
  <c r="M12" i="7" s="1"/>
  <c r="P11" i="7"/>
  <c r="N11" i="7"/>
  <c r="L11" i="7"/>
  <c r="M11" i="7" s="1"/>
  <c r="N10" i="7"/>
  <c r="P10" i="7" s="1"/>
  <c r="O9" i="2" s="1"/>
  <c r="L10" i="7"/>
  <c r="M10" i="7" s="1"/>
  <c r="P9" i="7"/>
  <c r="N9" i="7"/>
  <c r="L9" i="7"/>
  <c r="M9" i="7" s="1"/>
  <c r="N8" i="7"/>
  <c r="P8" i="7" s="1"/>
  <c r="O7" i="2" s="1"/>
  <c r="L8" i="7"/>
  <c r="M8" i="7" s="1"/>
  <c r="P7" i="7"/>
  <c r="N7" i="7"/>
  <c r="L7" i="7"/>
  <c r="M7" i="7" s="1"/>
  <c r="P6" i="7"/>
  <c r="N6" i="7"/>
  <c r="L6" i="7"/>
  <c r="M6" i="7" s="1"/>
  <c r="G74" i="6"/>
  <c r="F74" i="6"/>
  <c r="B74" i="6"/>
  <c r="G73" i="6"/>
  <c r="F73" i="6"/>
  <c r="B73" i="6"/>
  <c r="G72" i="6"/>
  <c r="F72" i="6"/>
  <c r="B72" i="6"/>
  <c r="O68" i="6"/>
  <c r="R68" i="6" s="1"/>
  <c r="R67" i="6" s="1"/>
  <c r="K68" i="6"/>
  <c r="G68" i="6"/>
  <c r="F68" i="6"/>
  <c r="B68" i="6"/>
  <c r="G67" i="6"/>
  <c r="F67" i="6"/>
  <c r="B67" i="6"/>
  <c r="O66" i="6"/>
  <c r="R66" i="6" s="1"/>
  <c r="R65" i="6" s="1"/>
  <c r="K66" i="6"/>
  <c r="G66" i="6"/>
  <c r="F66" i="6"/>
  <c r="B66" i="6"/>
  <c r="R64" i="6"/>
  <c r="R63" i="6"/>
  <c r="R62" i="6"/>
  <c r="R61" i="6" s="1"/>
  <c r="R60" i="6" s="1"/>
  <c r="D13" i="6" s="1"/>
  <c r="G62" i="6"/>
  <c r="F62" i="6"/>
  <c r="B62" i="6"/>
  <c r="G61" i="6"/>
  <c r="F61" i="6"/>
  <c r="B61" i="6"/>
  <c r="G60" i="6"/>
  <c r="F60" i="6"/>
  <c r="B60" i="6"/>
  <c r="R59" i="6"/>
  <c r="O59" i="6"/>
  <c r="K59" i="6"/>
  <c r="R58" i="6"/>
  <c r="O57" i="6"/>
  <c r="R57" i="6" s="1"/>
  <c r="R56" i="6" s="1"/>
  <c r="K57" i="6"/>
  <c r="G56" i="6"/>
  <c r="F56" i="6"/>
  <c r="B56" i="6"/>
  <c r="R55" i="6"/>
  <c r="G55" i="6"/>
  <c r="F55" i="6"/>
  <c r="B55" i="6"/>
  <c r="R54" i="6"/>
  <c r="G54" i="6"/>
  <c r="F54" i="6"/>
  <c r="B54" i="6"/>
  <c r="R53" i="6"/>
  <c r="G53" i="6"/>
  <c r="F53" i="6"/>
  <c r="B53" i="6"/>
  <c r="R52" i="6"/>
  <c r="G52" i="6"/>
  <c r="F52" i="6"/>
  <c r="B52" i="6"/>
  <c r="G51" i="6"/>
  <c r="F51" i="6"/>
  <c r="B51" i="6"/>
  <c r="R50" i="6"/>
  <c r="O50" i="6"/>
  <c r="K50" i="6"/>
  <c r="G50" i="6"/>
  <c r="F50" i="6"/>
  <c r="B50" i="6"/>
  <c r="R49" i="6"/>
  <c r="G49" i="6"/>
  <c r="F49" i="6"/>
  <c r="B49" i="6"/>
  <c r="O48" i="6"/>
  <c r="R48" i="6" s="1"/>
  <c r="R47" i="6" s="1"/>
  <c r="K48" i="6"/>
  <c r="G48" i="6"/>
  <c r="F48" i="6"/>
  <c r="B48" i="6"/>
  <c r="G47" i="6"/>
  <c r="F47" i="6"/>
  <c r="B47" i="6"/>
  <c r="R46" i="6"/>
  <c r="G46" i="6"/>
  <c r="F46" i="6"/>
  <c r="B46" i="6"/>
  <c r="R45" i="6"/>
  <c r="G45" i="6"/>
  <c r="F45" i="6"/>
  <c r="B45" i="6"/>
  <c r="R44" i="6"/>
  <c r="G44" i="6"/>
  <c r="F44" i="6"/>
  <c r="B44" i="6"/>
  <c r="R43" i="6"/>
  <c r="G43" i="6"/>
  <c r="F43" i="6"/>
  <c r="B43" i="6"/>
  <c r="G42" i="6"/>
  <c r="F42" i="6"/>
  <c r="B42" i="6"/>
  <c r="R41" i="6"/>
  <c r="O41" i="6"/>
  <c r="K41" i="6"/>
  <c r="G41" i="6"/>
  <c r="F41" i="6"/>
  <c r="B41" i="6"/>
  <c r="R40" i="6"/>
  <c r="G40" i="6"/>
  <c r="F40" i="6"/>
  <c r="B40" i="6"/>
  <c r="O39" i="6"/>
  <c r="R39" i="6" s="1"/>
  <c r="R38" i="6" s="1"/>
  <c r="K39" i="6"/>
  <c r="G39" i="6"/>
  <c r="F39" i="6"/>
  <c r="B39" i="6"/>
  <c r="G38" i="6"/>
  <c r="F38" i="6"/>
  <c r="B38" i="6"/>
  <c r="R37" i="6"/>
  <c r="G37" i="6"/>
  <c r="F37" i="6"/>
  <c r="B37" i="6"/>
  <c r="R36" i="6"/>
  <c r="G36" i="6"/>
  <c r="F36" i="6"/>
  <c r="B36" i="6"/>
  <c r="R35" i="6"/>
  <c r="R34" i="6"/>
  <c r="R33" i="6" s="1"/>
  <c r="D10" i="6" s="1"/>
  <c r="O32" i="6"/>
  <c r="R32" i="6" s="1"/>
  <c r="R31" i="6" s="1"/>
  <c r="K32" i="6"/>
  <c r="G32" i="6"/>
  <c r="F32" i="6"/>
  <c r="B32" i="6"/>
  <c r="G31" i="6"/>
  <c r="F31" i="6"/>
  <c r="B31" i="6"/>
  <c r="R30" i="6"/>
  <c r="O30" i="6"/>
  <c r="K30" i="6"/>
  <c r="G30" i="6"/>
  <c r="F30" i="6"/>
  <c r="B30" i="6"/>
  <c r="R29" i="6"/>
  <c r="G29" i="6"/>
  <c r="F29" i="6"/>
  <c r="R28" i="6"/>
  <c r="G28" i="6"/>
  <c r="F28" i="6"/>
  <c r="B28" i="6"/>
  <c r="R27" i="6"/>
  <c r="G27" i="6"/>
  <c r="F27" i="6"/>
  <c r="B27" i="6"/>
  <c r="R26" i="6"/>
  <c r="G26" i="6"/>
  <c r="F26" i="6"/>
  <c r="B26" i="6"/>
  <c r="R25" i="6"/>
  <c r="G25" i="6"/>
  <c r="F25" i="6"/>
  <c r="G24" i="6"/>
  <c r="F24" i="6"/>
  <c r="B24" i="6"/>
  <c r="O23" i="6"/>
  <c r="R23" i="6" s="1"/>
  <c r="R22" i="6" s="1"/>
  <c r="K23" i="6"/>
  <c r="G23" i="6"/>
  <c r="F23" i="6"/>
  <c r="B23" i="6"/>
  <c r="G22" i="6"/>
  <c r="F22" i="6"/>
  <c r="B22" i="6"/>
  <c r="R21" i="6"/>
  <c r="R20" i="6" s="1"/>
  <c r="O21" i="6"/>
  <c r="K21" i="6"/>
  <c r="G21" i="6"/>
  <c r="F21" i="6"/>
  <c r="B21" i="6"/>
  <c r="G20" i="6"/>
  <c r="F20" i="6"/>
  <c r="B20" i="6"/>
  <c r="R19" i="6"/>
  <c r="G19" i="6"/>
  <c r="F19" i="6"/>
  <c r="B19" i="6"/>
  <c r="R18" i="6"/>
  <c r="G18" i="6"/>
  <c r="F18" i="6"/>
  <c r="R17" i="6"/>
  <c r="R16" i="6" s="1"/>
  <c r="G17" i="6"/>
  <c r="F17" i="6"/>
  <c r="B17" i="6"/>
  <c r="R14" i="6"/>
  <c r="O14" i="6"/>
  <c r="K14" i="6"/>
  <c r="R13" i="6"/>
  <c r="B13" i="6"/>
  <c r="O12" i="6"/>
  <c r="R12" i="6" s="1"/>
  <c r="R11" i="6" s="1"/>
  <c r="K12" i="6"/>
  <c r="B12" i="6"/>
  <c r="B11" i="6"/>
  <c r="R10" i="6"/>
  <c r="B10" i="6"/>
  <c r="R9" i="6"/>
  <c r="B9" i="6"/>
  <c r="R8" i="6"/>
  <c r="R7" i="6" s="1"/>
  <c r="C8" i="6"/>
  <c r="B18" i="6" s="1"/>
  <c r="B8" i="6"/>
  <c r="C7" i="6"/>
  <c r="B29" i="6" s="1"/>
  <c r="B7" i="6"/>
  <c r="R6" i="6"/>
  <c r="D7" i="6" s="1"/>
  <c r="AJ24" i="5"/>
  <c r="AH24" i="5"/>
  <c r="M24" i="5"/>
  <c r="K24" i="5"/>
  <c r="AJ22" i="5"/>
  <c r="AH22" i="5"/>
  <c r="M22" i="5"/>
  <c r="K22" i="5"/>
  <c r="AJ21" i="5"/>
  <c r="AH21" i="5"/>
  <c r="M21" i="5"/>
  <c r="K21" i="5"/>
  <c r="AJ20" i="5"/>
  <c r="AH20" i="5"/>
  <c r="M20" i="5"/>
  <c r="K20" i="5"/>
  <c r="AJ19" i="5"/>
  <c r="AH19" i="5"/>
  <c r="M19" i="5"/>
  <c r="K19" i="5"/>
  <c r="M18" i="5"/>
  <c r="AJ17" i="5"/>
  <c r="AH17" i="5"/>
  <c r="M17" i="5"/>
  <c r="K17" i="5"/>
  <c r="AJ16" i="5"/>
  <c r="AH16" i="5"/>
  <c r="M16" i="5"/>
  <c r="K16" i="5"/>
  <c r="M15" i="5"/>
  <c r="AJ14" i="5"/>
  <c r="AH14" i="5"/>
  <c r="M14" i="5"/>
  <c r="K14" i="5"/>
  <c r="AJ13" i="5"/>
  <c r="AH13" i="5"/>
  <c r="N13" i="5"/>
  <c r="P13" i="5" s="1"/>
  <c r="M13" i="5"/>
  <c r="O13" i="5" s="1"/>
  <c r="K13" i="5"/>
  <c r="AJ12" i="5"/>
  <c r="AH12" i="5"/>
  <c r="AC12" i="5"/>
  <c r="AB12" i="5"/>
  <c r="N12" i="5"/>
  <c r="M12" i="5"/>
  <c r="K12" i="5"/>
  <c r="AJ10" i="5"/>
  <c r="AH10" i="5"/>
  <c r="M10" i="5"/>
  <c r="M11" i="5" s="1"/>
  <c r="K10" i="5"/>
  <c r="AJ9" i="5"/>
  <c r="AH9" i="5"/>
  <c r="O9" i="5"/>
  <c r="N9" i="5"/>
  <c r="M9" i="5"/>
  <c r="K9" i="5"/>
  <c r="AJ8" i="5"/>
  <c r="AH8" i="5"/>
  <c r="AC8" i="5"/>
  <c r="AB8" i="5"/>
  <c r="AF8" i="5" s="1"/>
  <c r="N8" i="5"/>
  <c r="M8" i="5"/>
  <c r="K8" i="5"/>
  <c r="AJ7" i="5"/>
  <c r="AH7" i="5"/>
  <c r="AB7" i="5"/>
  <c r="AF7" i="5" s="1"/>
  <c r="N7" i="5"/>
  <c r="M7" i="5"/>
  <c r="O7" i="5" s="1"/>
  <c r="K7" i="5"/>
  <c r="AJ6" i="5"/>
  <c r="AH6" i="5"/>
  <c r="P6" i="5"/>
  <c r="O6" i="5"/>
  <c r="N6" i="5"/>
  <c r="M6" i="5"/>
  <c r="K6" i="5"/>
  <c r="T23" i="4"/>
  <c r="P23" i="4"/>
  <c r="Q23" i="4" s="1"/>
  <c r="Y23" i="4" s="1"/>
  <c r="M19" i="2" s="1"/>
  <c r="N23" i="4"/>
  <c r="T22" i="4"/>
  <c r="Q22" i="4"/>
  <c r="Y22" i="4" s="1"/>
  <c r="M18" i="2" s="1"/>
  <c r="P22" i="4"/>
  <c r="N22" i="4"/>
  <c r="T21" i="4"/>
  <c r="Q21" i="4"/>
  <c r="Y21" i="4" s="1"/>
  <c r="M17" i="2" s="1"/>
  <c r="P21" i="4"/>
  <c r="N21" i="4"/>
  <c r="Y20" i="4"/>
  <c r="T20" i="4"/>
  <c r="Q20" i="4"/>
  <c r="P20" i="4"/>
  <c r="N20" i="4"/>
  <c r="T19" i="4"/>
  <c r="P19" i="4"/>
  <c r="Q19" i="4" s="1"/>
  <c r="Y19" i="4" s="1"/>
  <c r="M15" i="2" s="1"/>
  <c r="N19" i="4"/>
  <c r="T18" i="4"/>
  <c r="Q18" i="4"/>
  <c r="Y18" i="4" s="1"/>
  <c r="M14" i="2" s="1"/>
  <c r="P18" i="4"/>
  <c r="N18" i="4"/>
  <c r="T17" i="4"/>
  <c r="P17" i="4"/>
  <c r="Q17" i="4" s="1"/>
  <c r="Y17" i="4" s="1"/>
  <c r="M13" i="2" s="1"/>
  <c r="N17" i="4"/>
  <c r="Y16" i="4"/>
  <c r="T16" i="4"/>
  <c r="Q16" i="4"/>
  <c r="P16" i="4"/>
  <c r="N16" i="4"/>
  <c r="T15" i="4"/>
  <c r="P15" i="4"/>
  <c r="Q15" i="4" s="1"/>
  <c r="Y15" i="4" s="1"/>
  <c r="M11" i="2" s="1"/>
  <c r="N15" i="4"/>
  <c r="T14" i="4"/>
  <c r="Q14" i="4"/>
  <c r="Y14" i="4" s="1"/>
  <c r="M10" i="2" s="1"/>
  <c r="P14" i="4"/>
  <c r="N14" i="4"/>
  <c r="T13" i="4"/>
  <c r="Q13" i="4"/>
  <c r="Y13" i="4" s="1"/>
  <c r="M9" i="2" s="1"/>
  <c r="P13" i="4"/>
  <c r="N13" i="4"/>
  <c r="Y12" i="4"/>
  <c r="T12" i="4"/>
  <c r="Q12" i="4"/>
  <c r="P12" i="4"/>
  <c r="N12" i="4"/>
  <c r="T11" i="4"/>
  <c r="P11" i="4"/>
  <c r="Q11" i="4" s="1"/>
  <c r="Y11" i="4" s="1"/>
  <c r="M7" i="2" s="1"/>
  <c r="N11" i="4"/>
  <c r="T10" i="4"/>
  <c r="Q10" i="4"/>
  <c r="Y10" i="4" s="1"/>
  <c r="M6" i="2" s="1"/>
  <c r="P10" i="4"/>
  <c r="N10" i="4"/>
  <c r="T9" i="4"/>
  <c r="P9" i="4"/>
  <c r="Q9" i="4" s="1"/>
  <c r="Y9" i="4" s="1"/>
  <c r="M5" i="2" s="1"/>
  <c r="N9" i="4"/>
  <c r="U45" i="3"/>
  <c r="R44" i="3"/>
  <c r="M44" i="3"/>
  <c r="I44" i="3"/>
  <c r="H44" i="3"/>
  <c r="G44" i="3"/>
  <c r="J44" i="3" s="1"/>
  <c r="F44" i="3"/>
  <c r="E44" i="3"/>
  <c r="C44" i="3"/>
  <c r="K43" i="3"/>
  <c r="I43" i="3"/>
  <c r="H43" i="3"/>
  <c r="F43" i="3"/>
  <c r="E43" i="3"/>
  <c r="C43" i="3"/>
  <c r="K42" i="3"/>
  <c r="I42" i="3"/>
  <c r="H42" i="3"/>
  <c r="F42" i="3"/>
  <c r="E42" i="3"/>
  <c r="C42" i="3"/>
  <c r="M41" i="3"/>
  <c r="R41" i="3" s="1"/>
  <c r="K41" i="3"/>
  <c r="O41" i="3" s="1"/>
  <c r="I41" i="3"/>
  <c r="H41" i="3"/>
  <c r="F41" i="3"/>
  <c r="E41" i="3"/>
  <c r="C41" i="3"/>
  <c r="I39" i="3"/>
  <c r="H39" i="3"/>
  <c r="F39" i="3"/>
  <c r="E39" i="3"/>
  <c r="C39" i="3"/>
  <c r="R38" i="3"/>
  <c r="M38" i="3"/>
  <c r="K38" i="3"/>
  <c r="O38" i="3" s="1"/>
  <c r="F38" i="3"/>
  <c r="E38" i="3"/>
  <c r="I37" i="3"/>
  <c r="H37" i="3"/>
  <c r="F37" i="3"/>
  <c r="E37" i="3"/>
  <c r="C37" i="3"/>
  <c r="R36" i="3"/>
  <c r="M36" i="3"/>
  <c r="O36" i="3" s="1"/>
  <c r="K36" i="3"/>
  <c r="F36" i="3"/>
  <c r="E36" i="3"/>
  <c r="I35" i="3"/>
  <c r="H35" i="3"/>
  <c r="F35" i="3"/>
  <c r="E35" i="3"/>
  <c r="C35" i="3"/>
  <c r="O34" i="3"/>
  <c r="M34" i="3"/>
  <c r="R34" i="3" s="1"/>
  <c r="K34" i="3"/>
  <c r="F34" i="3"/>
  <c r="E34" i="3"/>
  <c r="I33" i="3"/>
  <c r="H33" i="3"/>
  <c r="F33" i="3"/>
  <c r="E33" i="3"/>
  <c r="C33" i="3"/>
  <c r="M32" i="3"/>
  <c r="R32" i="3" s="1"/>
  <c r="K32" i="3"/>
  <c r="F32" i="3"/>
  <c r="E32" i="3"/>
  <c r="I31" i="3"/>
  <c r="H31" i="3"/>
  <c r="F31" i="3"/>
  <c r="E31" i="3"/>
  <c r="C31" i="3"/>
  <c r="R30" i="3"/>
  <c r="M30" i="3"/>
  <c r="K30" i="3"/>
  <c r="O30" i="3" s="1"/>
  <c r="F30" i="3"/>
  <c r="E30" i="3"/>
  <c r="I29" i="3"/>
  <c r="H29" i="3"/>
  <c r="F29" i="3"/>
  <c r="E29" i="3"/>
  <c r="C29" i="3"/>
  <c r="R28" i="3"/>
  <c r="M28" i="3"/>
  <c r="O28" i="3" s="1"/>
  <c r="K28" i="3"/>
  <c r="F28" i="3"/>
  <c r="E28" i="3"/>
  <c r="I27" i="3"/>
  <c r="H27" i="3"/>
  <c r="F27" i="3"/>
  <c r="E27" i="3"/>
  <c r="C27" i="3"/>
  <c r="O26" i="3"/>
  <c r="M26" i="3"/>
  <c r="R26" i="3" s="1"/>
  <c r="K26" i="3"/>
  <c r="F26" i="3"/>
  <c r="E26" i="3"/>
  <c r="I25" i="3"/>
  <c r="H25" i="3"/>
  <c r="F25" i="3"/>
  <c r="E25" i="3"/>
  <c r="C25" i="3"/>
  <c r="M24" i="3"/>
  <c r="R24" i="3" s="1"/>
  <c r="K24" i="3"/>
  <c r="F24" i="3"/>
  <c r="E24" i="3"/>
  <c r="I23" i="3"/>
  <c r="H23" i="3"/>
  <c r="F23" i="3"/>
  <c r="E23" i="3"/>
  <c r="C23" i="3"/>
  <c r="R22" i="3"/>
  <c r="M22" i="3"/>
  <c r="K22" i="3"/>
  <c r="O22" i="3" s="1"/>
  <c r="F22" i="3"/>
  <c r="E22" i="3"/>
  <c r="I21" i="3"/>
  <c r="H21" i="3"/>
  <c r="F21" i="3"/>
  <c r="E21" i="3"/>
  <c r="C21" i="3"/>
  <c r="R20" i="3"/>
  <c r="M20" i="3"/>
  <c r="O20" i="3" s="1"/>
  <c r="K20" i="3"/>
  <c r="F20" i="3"/>
  <c r="E20" i="3"/>
  <c r="I19" i="3"/>
  <c r="H19" i="3"/>
  <c r="F19" i="3"/>
  <c r="E19" i="3"/>
  <c r="C19" i="3"/>
  <c r="O18" i="3"/>
  <c r="M18" i="3"/>
  <c r="R18" i="3" s="1"/>
  <c r="K18" i="3"/>
  <c r="F18" i="3"/>
  <c r="E18" i="3"/>
  <c r="I17" i="3"/>
  <c r="H17" i="3"/>
  <c r="F17" i="3"/>
  <c r="E17" i="3"/>
  <c r="C17" i="3"/>
  <c r="M16" i="3"/>
  <c r="R16" i="3" s="1"/>
  <c r="K16" i="3"/>
  <c r="F16" i="3"/>
  <c r="E16" i="3"/>
  <c r="I15" i="3"/>
  <c r="H15" i="3"/>
  <c r="F15" i="3"/>
  <c r="E15" i="3"/>
  <c r="C15" i="3"/>
  <c r="R14" i="3"/>
  <c r="M14" i="3"/>
  <c r="K14" i="3"/>
  <c r="O14" i="3" s="1"/>
  <c r="F14" i="3"/>
  <c r="E14" i="3"/>
  <c r="I13" i="3"/>
  <c r="H13" i="3"/>
  <c r="F13" i="3"/>
  <c r="E13" i="3"/>
  <c r="C13" i="3"/>
  <c r="R12" i="3"/>
  <c r="M12" i="3"/>
  <c r="O12" i="3" s="1"/>
  <c r="K12" i="3"/>
  <c r="F12" i="3"/>
  <c r="E12" i="3"/>
  <c r="I11" i="3"/>
  <c r="H11" i="3"/>
  <c r="G11" i="3"/>
  <c r="J11" i="3" s="1"/>
  <c r="J10" i="3" s="1"/>
  <c r="F11" i="3"/>
  <c r="E11" i="3"/>
  <c r="C11" i="3"/>
  <c r="I9" i="3"/>
  <c r="H9" i="3"/>
  <c r="F9" i="3"/>
  <c r="E9" i="3"/>
  <c r="C9" i="3"/>
  <c r="I7" i="3"/>
  <c r="H7" i="3"/>
  <c r="G7" i="3"/>
  <c r="J7" i="3" s="1"/>
  <c r="J6" i="3" s="1"/>
  <c r="F7" i="3"/>
  <c r="E7" i="3"/>
  <c r="C7" i="3"/>
  <c r="M6" i="3"/>
  <c r="R6" i="3" s="1"/>
  <c r="K6" i="3"/>
  <c r="F6" i="3"/>
  <c r="E6" i="3"/>
  <c r="L19" i="2"/>
  <c r="P18" i="2"/>
  <c r="O18" i="2"/>
  <c r="L18" i="2"/>
  <c r="P17" i="2"/>
  <c r="L17" i="2"/>
  <c r="O16" i="2"/>
  <c r="M16" i="2"/>
  <c r="L16" i="2"/>
  <c r="L15" i="2"/>
  <c r="O14" i="2"/>
  <c r="L14" i="2"/>
  <c r="P13" i="2"/>
  <c r="O13" i="2"/>
  <c r="L13" i="2"/>
  <c r="P12" i="2"/>
  <c r="O12" i="2"/>
  <c r="M12" i="2"/>
  <c r="L12" i="2"/>
  <c r="P11" i="2"/>
  <c r="L11" i="2"/>
  <c r="O10" i="2"/>
  <c r="L10" i="2"/>
  <c r="L9" i="2"/>
  <c r="O8" i="2"/>
  <c r="M8" i="2"/>
  <c r="L8" i="2"/>
  <c r="P7" i="2"/>
  <c r="L7" i="2"/>
  <c r="P6" i="2"/>
  <c r="O6" i="2"/>
  <c r="L6" i="2"/>
  <c r="P5" i="2"/>
  <c r="O5" i="2"/>
  <c r="L5" i="2"/>
  <c r="L47" i="1"/>
  <c r="L46" i="1"/>
  <c r="M45" i="1" s="1"/>
  <c r="S45" i="1"/>
  <c r="Q45" i="1"/>
  <c r="P45" i="1"/>
  <c r="O45" i="1"/>
  <c r="N45" i="1"/>
  <c r="L45" i="1"/>
  <c r="U44" i="1"/>
  <c r="T44" i="1"/>
  <c r="S44" i="1"/>
  <c r="R44" i="1"/>
  <c r="Q44" i="1"/>
  <c r="X39" i="13" s="1"/>
  <c r="P44" i="1"/>
  <c r="O44" i="1"/>
  <c r="N44" i="1"/>
  <c r="L44" i="1"/>
  <c r="L43" i="1"/>
  <c r="M42" i="1" s="1"/>
  <c r="Q42" i="1"/>
  <c r="P42" i="1"/>
  <c r="O42" i="1"/>
  <c r="N42" i="1"/>
  <c r="L42" i="1"/>
  <c r="L41" i="1"/>
  <c r="M40" i="1" s="1"/>
  <c r="Q40" i="1"/>
  <c r="P40" i="1"/>
  <c r="O40" i="1"/>
  <c r="N40" i="1"/>
  <c r="L40" i="1"/>
  <c r="L38" i="1"/>
  <c r="Q37" i="1"/>
  <c r="P37" i="1"/>
  <c r="O37" i="1"/>
  <c r="N37" i="1"/>
  <c r="M8" i="3" s="1"/>
  <c r="M37" i="1"/>
  <c r="T37" i="1" s="1"/>
  <c r="L37" i="1"/>
  <c r="L36" i="1"/>
  <c r="M35" i="1" s="1"/>
  <c r="T35" i="1"/>
  <c r="Q35" i="1"/>
  <c r="P35" i="1"/>
  <c r="O35" i="1"/>
  <c r="N35" i="1"/>
  <c r="L35" i="1"/>
  <c r="L34" i="1"/>
  <c r="L33" i="1"/>
  <c r="M32" i="1" s="1"/>
  <c r="Q32" i="1"/>
  <c r="P32" i="1"/>
  <c r="O32" i="1"/>
  <c r="N32" i="1"/>
  <c r="L32" i="1"/>
  <c r="L31" i="1"/>
  <c r="S30" i="1"/>
  <c r="R30" i="1"/>
  <c r="Q30" i="1"/>
  <c r="P30" i="1"/>
  <c r="O30" i="1"/>
  <c r="N30" i="1"/>
  <c r="M30" i="1"/>
  <c r="T30" i="1" s="1"/>
  <c r="L30" i="1"/>
  <c r="L29" i="1"/>
  <c r="L28" i="1"/>
  <c r="M27" i="1" s="1"/>
  <c r="Q27" i="1"/>
  <c r="P27" i="1"/>
  <c r="O27" i="1"/>
  <c r="N27" i="1"/>
  <c r="L27" i="1"/>
  <c r="U25" i="1"/>
  <c r="T25" i="1"/>
  <c r="S25" i="1"/>
  <c r="R25" i="1"/>
  <c r="Q25" i="1"/>
  <c r="P25" i="1"/>
  <c r="O25" i="1"/>
  <c r="N25" i="1"/>
  <c r="L25" i="1"/>
  <c r="U24" i="1"/>
  <c r="T24" i="1"/>
  <c r="S24" i="1"/>
  <c r="Q24" i="1"/>
  <c r="P24" i="1"/>
  <c r="O24" i="1"/>
  <c r="N24" i="1"/>
  <c r="R24" i="1" s="1"/>
  <c r="L24" i="1"/>
  <c r="U23" i="1"/>
  <c r="T23" i="1"/>
  <c r="Q23" i="1"/>
  <c r="P23" i="1"/>
  <c r="O23" i="1"/>
  <c r="S23" i="1" s="1"/>
  <c r="N23" i="1"/>
  <c r="R23" i="1" s="1"/>
  <c r="L23" i="1"/>
  <c r="U22" i="1"/>
  <c r="Q22" i="1"/>
  <c r="P22" i="1"/>
  <c r="T22" i="1" s="1"/>
  <c r="O22" i="1"/>
  <c r="S22" i="1" s="1"/>
  <c r="N22" i="1"/>
  <c r="R22" i="1" s="1"/>
  <c r="L22" i="1"/>
  <c r="L21" i="1"/>
  <c r="M20" i="1" s="1"/>
  <c r="R20" i="1"/>
  <c r="Q20" i="1"/>
  <c r="P20" i="1"/>
  <c r="O20" i="1"/>
  <c r="N20" i="1"/>
  <c r="L20" i="1"/>
  <c r="L19" i="1"/>
  <c r="Q18" i="1"/>
  <c r="P18" i="1"/>
  <c r="O18" i="1"/>
  <c r="N18" i="1"/>
  <c r="M18" i="1"/>
  <c r="L18" i="1"/>
  <c r="U17" i="1"/>
  <c r="T17" i="1"/>
  <c r="Q17" i="1"/>
  <c r="P17" i="1"/>
  <c r="O17" i="1"/>
  <c r="S17" i="1" s="1"/>
  <c r="N17" i="1"/>
  <c r="R17" i="1" s="1"/>
  <c r="L17" i="1"/>
  <c r="L16" i="1"/>
  <c r="Q15" i="1"/>
  <c r="P15" i="1"/>
  <c r="O15" i="1"/>
  <c r="N15" i="1"/>
  <c r="M15" i="1"/>
  <c r="T15" i="1" s="1"/>
  <c r="L15" i="1"/>
  <c r="S14" i="1"/>
  <c r="R14" i="1"/>
  <c r="Q14" i="1"/>
  <c r="U14" i="1" s="1"/>
  <c r="P14" i="1"/>
  <c r="T14" i="1" s="1"/>
  <c r="O14" i="1"/>
  <c r="N14" i="1"/>
  <c r="L14" i="1"/>
  <c r="T13" i="1"/>
  <c r="S13" i="1"/>
  <c r="R13" i="1"/>
  <c r="Q13" i="1"/>
  <c r="K37" i="13" s="1"/>
  <c r="P13" i="1"/>
  <c r="O13" i="1"/>
  <c r="N13" i="1"/>
  <c r="L13" i="1"/>
  <c r="U12" i="1"/>
  <c r="Q12" i="1"/>
  <c r="P12" i="1"/>
  <c r="O12" i="1"/>
  <c r="N12" i="1"/>
  <c r="M12" i="1"/>
  <c r="L12" i="1"/>
  <c r="L11" i="1"/>
  <c r="M10" i="1" s="1"/>
  <c r="Q10" i="1"/>
  <c r="P10" i="1"/>
  <c r="O10" i="1"/>
  <c r="N10" i="1"/>
  <c r="L10" i="1"/>
  <c r="L9" i="1"/>
  <c r="M8" i="1" s="1"/>
  <c r="S8" i="1" s="1"/>
  <c r="Q8" i="1"/>
  <c r="P8" i="1"/>
  <c r="O8" i="1"/>
  <c r="N8" i="1"/>
  <c r="L8" i="1"/>
  <c r="B2" i="1"/>
  <c r="B49" i="48" l="1"/>
  <c r="F8" i="48"/>
  <c r="H8" i="48" s="1"/>
  <c r="H7" i="48"/>
  <c r="H6" i="48" s="1"/>
  <c r="H13" i="48" s="1"/>
  <c r="E51" i="48"/>
  <c r="L13" i="48"/>
  <c r="L14" i="48" s="1"/>
  <c r="M6" i="48"/>
  <c r="B51" i="48"/>
  <c r="AA199" i="48"/>
  <c r="C51" i="48"/>
  <c r="V201" i="48"/>
  <c r="Z200" i="48"/>
  <c r="V199" i="48"/>
  <c r="Z198" i="48"/>
  <c r="V197" i="48"/>
  <c r="V183" i="48"/>
  <c r="Z182" i="48"/>
  <c r="V181" i="48"/>
  <c r="Z180" i="48"/>
  <c r="V179" i="48"/>
  <c r="AC201" i="48"/>
  <c r="U201" i="48"/>
  <c r="Y200" i="48"/>
  <c r="AC199" i="48"/>
  <c r="U199" i="48"/>
  <c r="Y198" i="48"/>
  <c r="AC197" i="48"/>
  <c r="U197" i="48"/>
  <c r="AC183" i="48"/>
  <c r="U183" i="48"/>
  <c r="Y182" i="48"/>
  <c r="AC181" i="48"/>
  <c r="U181" i="48"/>
  <c r="Y180" i="48"/>
  <c r="AC179" i="48"/>
  <c r="U179" i="48"/>
  <c r="Z201" i="48"/>
  <c r="V200" i="48"/>
  <c r="Z199" i="48"/>
  <c r="V198" i="48"/>
  <c r="Z197" i="48"/>
  <c r="Z183" i="48"/>
  <c r="V182" i="48"/>
  <c r="Z181" i="48"/>
  <c r="V180" i="48"/>
  <c r="Z179" i="48"/>
  <c r="Y201" i="48"/>
  <c r="X200" i="48"/>
  <c r="X199" i="48"/>
  <c r="W198" i="48"/>
  <c r="W197" i="48"/>
  <c r="AC182" i="48"/>
  <c r="AB181" i="48"/>
  <c r="AB180" i="48"/>
  <c r="AA179" i="48"/>
  <c r="X201" i="48"/>
  <c r="W200" i="48"/>
  <c r="W199" i="48"/>
  <c r="U198" i="48"/>
  <c r="T197" i="48"/>
  <c r="AB183" i="48"/>
  <c r="AB182" i="48"/>
  <c r="AA181" i="48"/>
  <c r="AA180" i="48"/>
  <c r="Y179" i="48"/>
  <c r="W201" i="48"/>
  <c r="U200" i="48"/>
  <c r="T199" i="48"/>
  <c r="T198" i="48"/>
  <c r="S197" i="48"/>
  <c r="AA183" i="48"/>
  <c r="AA182" i="48"/>
  <c r="Y181" i="48"/>
  <c r="X180" i="48"/>
  <c r="X179" i="48"/>
  <c r="T201" i="48"/>
  <c r="T200" i="48"/>
  <c r="S199" i="48"/>
  <c r="S198" i="48"/>
  <c r="Y183" i="48"/>
  <c r="X182" i="48"/>
  <c r="X181" i="48"/>
  <c r="W180" i="48"/>
  <c r="W179" i="48"/>
  <c r="S201" i="48"/>
  <c r="S200" i="48"/>
  <c r="AC198" i="48"/>
  <c r="AB197" i="48"/>
  <c r="X183" i="48"/>
  <c r="W182" i="48"/>
  <c r="W181" i="48"/>
  <c r="U180" i="48"/>
  <c r="T179" i="48"/>
  <c r="AC200" i="48"/>
  <c r="AB199" i="48"/>
  <c r="AB198" i="48"/>
  <c r="AA197" i="48"/>
  <c r="W183" i="48"/>
  <c r="U182" i="48"/>
  <c r="T181" i="48"/>
  <c r="T180" i="48"/>
  <c r="S179" i="48"/>
  <c r="AA201" i="48"/>
  <c r="AA200" i="48"/>
  <c r="Y199" i="48"/>
  <c r="X198" i="48"/>
  <c r="X197" i="48"/>
  <c r="S183" i="48"/>
  <c r="S182" i="48"/>
  <c r="AC180" i="48"/>
  <c r="AB179" i="48"/>
  <c r="AB201" i="48"/>
  <c r="AA216" i="48"/>
  <c r="Z216" i="48"/>
  <c r="T212" i="48"/>
  <c r="V211" i="48"/>
  <c r="X207" i="48"/>
  <c r="Z206" i="48"/>
  <c r="Y216" i="48"/>
  <c r="AA212" i="48"/>
  <c r="S212" i="48"/>
  <c r="R212" i="48" s="1"/>
  <c r="U211" i="48"/>
  <c r="W207" i="48"/>
  <c r="Y206" i="48"/>
  <c r="W216" i="48"/>
  <c r="V216" i="48"/>
  <c r="X212" i="48"/>
  <c r="Z211" i="48"/>
  <c r="T207" i="48"/>
  <c r="V206" i="48"/>
  <c r="V212" i="48"/>
  <c r="S211" i="48"/>
  <c r="R211" i="48" s="1"/>
  <c r="AA206" i="48"/>
  <c r="X216" i="48"/>
  <c r="U212" i="48"/>
  <c r="AA207" i="48"/>
  <c r="X206" i="48"/>
  <c r="U216" i="48"/>
  <c r="Z207" i="48"/>
  <c r="W206" i="48"/>
  <c r="T216" i="48"/>
  <c r="AA211" i="48"/>
  <c r="Y207" i="48"/>
  <c r="U206" i="48"/>
  <c r="S216" i="48"/>
  <c r="R216" i="48" s="1"/>
  <c r="Y211" i="48"/>
  <c r="V207" i="48"/>
  <c r="T206" i="48"/>
  <c r="Z212" i="48"/>
  <c r="X211" i="48"/>
  <c r="U207" i="48"/>
  <c r="S206" i="48"/>
  <c r="R206" i="48" s="1"/>
  <c r="W212" i="48"/>
  <c r="T211" i="48"/>
  <c r="S207" i="48"/>
  <c r="R207" i="48" s="1"/>
  <c r="J7" i="48"/>
  <c r="J6" i="48" s="1"/>
  <c r="W211" i="48"/>
  <c r="I6" i="48"/>
  <c r="S180" i="48"/>
  <c r="Y212" i="48"/>
  <c r="S181" i="48"/>
  <c r="Y197" i="48"/>
  <c r="E36" i="43"/>
  <c r="E37" i="41"/>
  <c r="E37" i="42"/>
  <c r="F25" i="37"/>
  <c r="F133" i="25"/>
  <c r="F27" i="21"/>
  <c r="G20" i="13"/>
  <c r="J20" i="13" s="1"/>
  <c r="G10" i="10"/>
  <c r="J10" i="10" s="1"/>
  <c r="AA10" i="10" s="1"/>
  <c r="U40" i="1"/>
  <c r="T40" i="1"/>
  <c r="S40" i="1"/>
  <c r="L10" i="3"/>
  <c r="Y10" i="3"/>
  <c r="O31" i="17"/>
  <c r="M31" i="17"/>
  <c r="K31" i="17"/>
  <c r="E31" i="43"/>
  <c r="E32" i="42"/>
  <c r="F20" i="37"/>
  <c r="E32" i="41"/>
  <c r="F86" i="25"/>
  <c r="F21" i="21"/>
  <c r="G17" i="10"/>
  <c r="J17" i="10" s="1"/>
  <c r="AA17" i="10" s="1"/>
  <c r="G23" i="3"/>
  <c r="J23" i="3" s="1"/>
  <c r="J22" i="3" s="1"/>
  <c r="U27" i="1"/>
  <c r="T27" i="1"/>
  <c r="G41" i="3"/>
  <c r="J41" i="3" s="1"/>
  <c r="S27" i="1"/>
  <c r="R27" i="1"/>
  <c r="E34" i="42"/>
  <c r="E34" i="41"/>
  <c r="E33" i="43"/>
  <c r="F22" i="37"/>
  <c r="F102" i="25"/>
  <c r="F23" i="21"/>
  <c r="G17" i="13"/>
  <c r="J17" i="13" s="1"/>
  <c r="J16" i="13" s="1"/>
  <c r="G13" i="13"/>
  <c r="J13" i="13" s="1"/>
  <c r="J12" i="13" s="1"/>
  <c r="G30" i="13"/>
  <c r="J30" i="13" s="1"/>
  <c r="J29" i="13" s="1"/>
  <c r="G47" i="13"/>
  <c r="J47" i="13" s="1"/>
  <c r="G39" i="3"/>
  <c r="J39" i="3" s="1"/>
  <c r="J38" i="3" s="1"/>
  <c r="G31" i="3"/>
  <c r="J31" i="3" s="1"/>
  <c r="J30" i="3" s="1"/>
  <c r="U32" i="1"/>
  <c r="G18" i="10"/>
  <c r="J18" i="10" s="1"/>
  <c r="AA18" i="10" s="1"/>
  <c r="G43" i="3"/>
  <c r="J43" i="3" s="1"/>
  <c r="G25" i="3"/>
  <c r="J25" i="3" s="1"/>
  <c r="J24" i="3" s="1"/>
  <c r="T32" i="1"/>
  <c r="S32" i="1"/>
  <c r="G19" i="3"/>
  <c r="J19" i="3" s="1"/>
  <c r="J18" i="3" s="1"/>
  <c r="R32" i="1"/>
  <c r="G29" i="3"/>
  <c r="J29" i="3" s="1"/>
  <c r="J28" i="3" s="1"/>
  <c r="G21" i="3"/>
  <c r="J21" i="3" s="1"/>
  <c r="J20" i="3" s="1"/>
  <c r="E34" i="43"/>
  <c r="E35" i="41"/>
  <c r="E35" i="42"/>
  <c r="F23" i="37"/>
  <c r="F118" i="25"/>
  <c r="F24" i="21"/>
  <c r="G11" i="13"/>
  <c r="J11" i="13" s="1"/>
  <c r="J10" i="13" s="1"/>
  <c r="R35" i="1"/>
  <c r="G33" i="3"/>
  <c r="J33" i="3" s="1"/>
  <c r="J32" i="3" s="1"/>
  <c r="G19" i="10"/>
  <c r="J19" i="10" s="1"/>
  <c r="AA19" i="10" s="1"/>
  <c r="G27" i="3"/>
  <c r="J27" i="3" s="1"/>
  <c r="J26" i="3" s="1"/>
  <c r="U35" i="1"/>
  <c r="S35" i="1"/>
  <c r="E19" i="43"/>
  <c r="E20" i="42"/>
  <c r="E20" i="41"/>
  <c r="F8" i="37"/>
  <c r="F12" i="25"/>
  <c r="F8" i="21"/>
  <c r="G22" i="13"/>
  <c r="J22" i="13" s="1"/>
  <c r="J21" i="13" s="1"/>
  <c r="G8" i="10"/>
  <c r="J8" i="10" s="1"/>
  <c r="AA8" i="10" s="1"/>
  <c r="U10" i="1"/>
  <c r="T10" i="1"/>
  <c r="S10" i="1"/>
  <c r="S48" i="1" s="1"/>
  <c r="R10" i="1"/>
  <c r="W44" i="3"/>
  <c r="S44" i="3"/>
  <c r="N44" i="3"/>
  <c r="AA16" i="10"/>
  <c r="E26" i="42"/>
  <c r="E26" i="41"/>
  <c r="E25" i="43"/>
  <c r="F14" i="37"/>
  <c r="F42" i="25"/>
  <c r="F14" i="21"/>
  <c r="G13" i="10"/>
  <c r="J13" i="10" s="1"/>
  <c r="G36" i="13"/>
  <c r="J36" i="13" s="1"/>
  <c r="J35" i="13" s="1"/>
  <c r="G26" i="13"/>
  <c r="J26" i="13" s="1"/>
  <c r="J25" i="13" s="1"/>
  <c r="G49" i="13"/>
  <c r="J49" i="13" s="1"/>
  <c r="S18" i="1"/>
  <c r="R18" i="1"/>
  <c r="G13" i="3"/>
  <c r="J13" i="3" s="1"/>
  <c r="J12" i="3" s="1"/>
  <c r="T18" i="1"/>
  <c r="K37" i="23"/>
  <c r="J37" i="23"/>
  <c r="E18" i="43"/>
  <c r="E19" i="41"/>
  <c r="E19" i="42"/>
  <c r="F7" i="37"/>
  <c r="F6" i="25"/>
  <c r="G7" i="13"/>
  <c r="J7" i="13" s="1"/>
  <c r="J6" i="13" s="1"/>
  <c r="G28" i="13"/>
  <c r="J28" i="13" s="1"/>
  <c r="J27" i="13" s="1"/>
  <c r="G7" i="10"/>
  <c r="J7" i="10" s="1"/>
  <c r="F7" i="21"/>
  <c r="U8" i="1"/>
  <c r="T8" i="1"/>
  <c r="R8" i="1"/>
  <c r="E20" i="43"/>
  <c r="E21" i="41"/>
  <c r="E21" i="42"/>
  <c r="F9" i="37"/>
  <c r="F9" i="21"/>
  <c r="F17" i="25"/>
  <c r="I19" i="25" s="1"/>
  <c r="G32" i="13"/>
  <c r="J32" i="13" s="1"/>
  <c r="J31" i="13" s="1"/>
  <c r="S12" i="1"/>
  <c r="R12" i="1"/>
  <c r="T12" i="1"/>
  <c r="O8" i="3"/>
  <c r="R8" i="3"/>
  <c r="U18" i="1"/>
  <c r="E26" i="43"/>
  <c r="E27" i="41"/>
  <c r="E27" i="42"/>
  <c r="F15" i="37"/>
  <c r="G14" i="10"/>
  <c r="J14" i="10" s="1"/>
  <c r="G15" i="3"/>
  <c r="J15" i="3" s="1"/>
  <c r="J14" i="3" s="1"/>
  <c r="U20" i="1"/>
  <c r="F51" i="25"/>
  <c r="T20" i="1"/>
  <c r="S20" i="1"/>
  <c r="F15" i="21"/>
  <c r="E7" i="22"/>
  <c r="E7" i="23"/>
  <c r="L6" i="3"/>
  <c r="S6" i="3"/>
  <c r="N6" i="3"/>
  <c r="E38" i="42"/>
  <c r="E37" i="43"/>
  <c r="E38" i="41"/>
  <c r="F26" i="37"/>
  <c r="F138" i="25"/>
  <c r="I140" i="25" s="1"/>
  <c r="F28" i="21"/>
  <c r="G11" i="10"/>
  <c r="J11" i="10" s="1"/>
  <c r="AA11" i="10" s="1"/>
  <c r="U42" i="1"/>
  <c r="T42" i="1"/>
  <c r="S42" i="1"/>
  <c r="R42" i="1"/>
  <c r="E39" i="43"/>
  <c r="E40" i="42"/>
  <c r="E40" i="41"/>
  <c r="F28" i="37"/>
  <c r="F148" i="25"/>
  <c r="F30" i="21"/>
  <c r="G15" i="13"/>
  <c r="J15" i="13" s="1"/>
  <c r="J14" i="13" s="1"/>
  <c r="G20" i="10"/>
  <c r="J20" i="10" s="1"/>
  <c r="AA20" i="10" s="1"/>
  <c r="G17" i="3"/>
  <c r="J17" i="3" s="1"/>
  <c r="J16" i="3" s="1"/>
  <c r="U45" i="1"/>
  <c r="T45" i="1"/>
  <c r="R45" i="1"/>
  <c r="P46" i="13"/>
  <c r="N46" i="13"/>
  <c r="L46" i="13"/>
  <c r="W46" i="13"/>
  <c r="S46" i="13"/>
  <c r="R40" i="1"/>
  <c r="R39" i="1" s="1"/>
  <c r="E53" i="23"/>
  <c r="E53" i="22"/>
  <c r="W41" i="13"/>
  <c r="O100" i="17"/>
  <c r="M100" i="17"/>
  <c r="K100" i="17"/>
  <c r="H112" i="36"/>
  <c r="H289" i="20"/>
  <c r="J289" i="20" s="1"/>
  <c r="J288" i="20" s="1"/>
  <c r="G9" i="3"/>
  <c r="J9" i="3" s="1"/>
  <c r="J8" i="3" s="1"/>
  <c r="P7" i="5"/>
  <c r="AF12" i="5"/>
  <c r="AE12" i="5"/>
  <c r="AD12" i="5"/>
  <c r="AL12" i="5" s="1"/>
  <c r="AN12" i="5" s="1"/>
  <c r="AO12" i="5" s="1"/>
  <c r="N10" i="2" s="1"/>
  <c r="U10" i="2" s="1"/>
  <c r="V10" i="2" s="1"/>
  <c r="M12" i="11"/>
  <c r="L12" i="11"/>
  <c r="P12" i="11" s="1"/>
  <c r="Q12" i="11" s="1"/>
  <c r="E37" i="23"/>
  <c r="I37" i="23" s="1"/>
  <c r="E37" i="22"/>
  <c r="Y8" i="13"/>
  <c r="N8" i="13"/>
  <c r="W8" i="13"/>
  <c r="L8" i="13"/>
  <c r="S8" i="13"/>
  <c r="M56" i="17"/>
  <c r="K56" i="17"/>
  <c r="J11" i="20"/>
  <c r="G37" i="3"/>
  <c r="J37" i="3" s="1"/>
  <c r="J36" i="3" s="1"/>
  <c r="G42" i="3"/>
  <c r="J42" i="3" s="1"/>
  <c r="J36" i="22"/>
  <c r="E51" i="23"/>
  <c r="E51" i="22"/>
  <c r="AA37" i="13"/>
  <c r="W37" i="13"/>
  <c r="L37" i="13"/>
  <c r="J231" i="20"/>
  <c r="U13" i="1"/>
  <c r="R15" i="1"/>
  <c r="H50" i="36"/>
  <c r="H148" i="20"/>
  <c r="J148" i="20" s="1"/>
  <c r="J147" i="20" s="1"/>
  <c r="J149" i="20" s="1"/>
  <c r="H53" i="36"/>
  <c r="H162" i="20"/>
  <c r="H65" i="36"/>
  <c r="J65" i="36" s="1"/>
  <c r="J64" i="36" s="1"/>
  <c r="H193" i="20"/>
  <c r="J193" i="20" s="1"/>
  <c r="J192" i="20" s="1"/>
  <c r="J198" i="20" s="1"/>
  <c r="R37" i="1"/>
  <c r="O6" i="3"/>
  <c r="P6" i="3" s="1"/>
  <c r="K8" i="3"/>
  <c r="Z8" i="3" s="1"/>
  <c r="O16" i="3"/>
  <c r="O24" i="3"/>
  <c r="O32" i="3"/>
  <c r="AC7" i="5"/>
  <c r="AL7" i="5" s="1"/>
  <c r="AN7" i="5" s="1"/>
  <c r="AO7" i="5" s="1"/>
  <c r="N6" i="2" s="1"/>
  <c r="U6" i="2" s="1"/>
  <c r="V6" i="2" s="1"/>
  <c r="AD8" i="5"/>
  <c r="AL8" i="5" s="1"/>
  <c r="AN8" i="5" s="1"/>
  <c r="AO8" i="5" s="1"/>
  <c r="N7" i="2" s="1"/>
  <c r="U7" i="2" s="1"/>
  <c r="V7" i="2" s="1"/>
  <c r="N10" i="5"/>
  <c r="N11" i="5" s="1"/>
  <c r="O11" i="5" s="1"/>
  <c r="W29" i="10"/>
  <c r="J26" i="10"/>
  <c r="R47" i="13"/>
  <c r="O47" i="13"/>
  <c r="H37" i="22"/>
  <c r="J43" i="23"/>
  <c r="S15" i="1"/>
  <c r="E33" i="42"/>
  <c r="E32" i="43"/>
  <c r="E33" i="41"/>
  <c r="F21" i="37"/>
  <c r="F22" i="21"/>
  <c r="G48" i="13"/>
  <c r="J48" i="13" s="1"/>
  <c r="J45" i="13" s="1"/>
  <c r="F92" i="25"/>
  <c r="G24" i="13"/>
  <c r="J24" i="13" s="1"/>
  <c r="J23" i="13" s="1"/>
  <c r="G22" i="10"/>
  <c r="J22" i="10" s="1"/>
  <c r="U30" i="1"/>
  <c r="S37" i="1"/>
  <c r="G35" i="3"/>
  <c r="J35" i="3" s="1"/>
  <c r="J34" i="3" s="1"/>
  <c r="AD7" i="5"/>
  <c r="AE8" i="5"/>
  <c r="O10" i="5"/>
  <c r="P10" i="5" s="1"/>
  <c r="N9" i="11"/>
  <c r="M9" i="11"/>
  <c r="L9" i="11"/>
  <c r="P9" i="11" s="1"/>
  <c r="Q9" i="11" s="1"/>
  <c r="H30" i="36"/>
  <c r="J30" i="36" s="1"/>
  <c r="J29" i="36" s="1"/>
  <c r="J12" i="37" s="1"/>
  <c r="P137" i="25"/>
  <c r="Q137" i="25" s="1"/>
  <c r="Q136" i="25" s="1"/>
  <c r="P38" i="25"/>
  <c r="Q38" i="25" s="1"/>
  <c r="Q37" i="25" s="1"/>
  <c r="H117" i="36"/>
  <c r="J117" i="36" s="1"/>
  <c r="J116" i="36" s="1"/>
  <c r="J25" i="37" s="1"/>
  <c r="H42" i="23"/>
  <c r="H305" i="20"/>
  <c r="J305" i="20" s="1"/>
  <c r="J304" i="20" s="1"/>
  <c r="H86" i="20"/>
  <c r="J86" i="20" s="1"/>
  <c r="J85" i="20" s="1"/>
  <c r="J87" i="20" s="1"/>
  <c r="H42" i="22"/>
  <c r="X18" i="13"/>
  <c r="Z18" i="13" s="1"/>
  <c r="H41" i="36"/>
  <c r="J41" i="36" s="1"/>
  <c r="P49" i="25"/>
  <c r="H50" i="22"/>
  <c r="H117" i="20"/>
  <c r="X35" i="13"/>
  <c r="Z35" i="13" s="1"/>
  <c r="H50" i="23"/>
  <c r="E49" i="23"/>
  <c r="E49" i="22"/>
  <c r="N33" i="13"/>
  <c r="W33" i="13"/>
  <c r="L33" i="13"/>
  <c r="S33" i="13"/>
  <c r="J44" i="13"/>
  <c r="J43" i="13" s="1"/>
  <c r="O56" i="17"/>
  <c r="I105" i="17"/>
  <c r="J44" i="20"/>
  <c r="J43" i="20"/>
  <c r="H67" i="36"/>
  <c r="J67" i="36" s="1"/>
  <c r="J66" i="36" s="1"/>
  <c r="I19" i="37" s="1"/>
  <c r="H196" i="20"/>
  <c r="AE7" i="5"/>
  <c r="R51" i="6"/>
  <c r="D12" i="6" s="1"/>
  <c r="P77" i="25"/>
  <c r="H61" i="36"/>
  <c r="H180" i="20"/>
  <c r="J180" i="20" s="1"/>
  <c r="X8" i="13"/>
  <c r="Z8" i="13" s="1"/>
  <c r="AA8" i="13" s="1"/>
  <c r="H45" i="23"/>
  <c r="H40" i="36"/>
  <c r="H116" i="20"/>
  <c r="J116" i="20" s="1"/>
  <c r="P48" i="25"/>
  <c r="P50" i="25" s="1"/>
  <c r="X49" i="13" s="1"/>
  <c r="Z49" i="13" s="1"/>
  <c r="X25" i="13"/>
  <c r="Z25" i="13" s="1"/>
  <c r="H45" i="22"/>
  <c r="J40" i="13"/>
  <c r="J39" i="13" s="1"/>
  <c r="O95" i="17"/>
  <c r="M95" i="17"/>
  <c r="E23" i="43"/>
  <c r="E24" i="42"/>
  <c r="E24" i="41"/>
  <c r="F12" i="37"/>
  <c r="F34" i="25"/>
  <c r="F12" i="21"/>
  <c r="G19" i="13"/>
  <c r="J19" i="13" s="1"/>
  <c r="J18" i="13" s="1"/>
  <c r="G9" i="10"/>
  <c r="J9" i="10" s="1"/>
  <c r="AA9" i="10" s="1"/>
  <c r="U15" i="1"/>
  <c r="E35" i="43"/>
  <c r="E36" i="41"/>
  <c r="E36" i="42"/>
  <c r="F126" i="25"/>
  <c r="F24" i="37"/>
  <c r="F25" i="21"/>
  <c r="G24" i="10"/>
  <c r="J24" i="10" s="1"/>
  <c r="U37" i="1"/>
  <c r="H123" i="36"/>
  <c r="J123" i="36" s="1"/>
  <c r="J122" i="36" s="1"/>
  <c r="H334" i="20"/>
  <c r="K39" i="13"/>
  <c r="Z39" i="13" s="1"/>
  <c r="K10" i="3"/>
  <c r="Z10" i="3" s="1"/>
  <c r="AA10" i="3" s="1"/>
  <c r="P12" i="5"/>
  <c r="M23" i="5"/>
  <c r="P22" i="5"/>
  <c r="O22" i="5"/>
  <c r="M25" i="5"/>
  <c r="P24" i="5"/>
  <c r="O24" i="5"/>
  <c r="N24" i="5"/>
  <c r="N25" i="5" s="1"/>
  <c r="AB19" i="5"/>
  <c r="AB16" i="5"/>
  <c r="AB13" i="5"/>
  <c r="AB10" i="5"/>
  <c r="AB20" i="5"/>
  <c r="AB21" i="5"/>
  <c r="AB11" i="5"/>
  <c r="R24" i="6"/>
  <c r="D9" i="6" s="1"/>
  <c r="M39" i="13"/>
  <c r="O73" i="17"/>
  <c r="M73" i="17"/>
  <c r="K73" i="17"/>
  <c r="K90" i="17"/>
  <c r="H22" i="36"/>
  <c r="J22" i="36" s="1"/>
  <c r="J21" i="36" s="1"/>
  <c r="H56" i="20"/>
  <c r="J56" i="20" s="1"/>
  <c r="J55" i="20" s="1"/>
  <c r="J57" i="20" s="1"/>
  <c r="X37" i="13"/>
  <c r="Z37" i="13" s="1"/>
  <c r="M37" i="13"/>
  <c r="H110" i="36"/>
  <c r="J110" i="36" s="1"/>
  <c r="J109" i="36" s="1"/>
  <c r="H286" i="20"/>
  <c r="J286" i="20" s="1"/>
  <c r="J285" i="20" s="1"/>
  <c r="J291" i="20" s="1"/>
  <c r="O8" i="5"/>
  <c r="P9" i="5"/>
  <c r="N22" i="5"/>
  <c r="N23" i="5" s="1"/>
  <c r="R15" i="6"/>
  <c r="D8" i="6" s="1"/>
  <c r="H47" i="36"/>
  <c r="J47" i="36" s="1"/>
  <c r="J46" i="36" s="1"/>
  <c r="I15" i="37" s="1"/>
  <c r="H38" i="36"/>
  <c r="P46" i="25"/>
  <c r="H114" i="20"/>
  <c r="J114" i="20" s="1"/>
  <c r="J113" i="20" s="1"/>
  <c r="H28" i="22"/>
  <c r="H28" i="23"/>
  <c r="X12" i="10"/>
  <c r="Z12" i="10" s="1"/>
  <c r="H132" i="20"/>
  <c r="R15" i="10"/>
  <c r="O15" i="10"/>
  <c r="O12" i="11"/>
  <c r="AA33" i="13"/>
  <c r="M90" i="17"/>
  <c r="G62" i="19"/>
  <c r="J25" i="20"/>
  <c r="J24" i="20" s="1"/>
  <c r="H25" i="36"/>
  <c r="X41" i="13"/>
  <c r="M41" i="13"/>
  <c r="N41" i="13" s="1"/>
  <c r="H71" i="20"/>
  <c r="J71" i="20" s="1"/>
  <c r="J70" i="20" s="1"/>
  <c r="J72" i="20" s="1"/>
  <c r="K41" i="13"/>
  <c r="L41" i="13" s="1"/>
  <c r="M10" i="3"/>
  <c r="N10" i="3" s="1"/>
  <c r="P8" i="5"/>
  <c r="AB9" i="5"/>
  <c r="O12" i="5"/>
  <c r="N21" i="5"/>
  <c r="R42" i="6"/>
  <c r="D11" i="6" s="1"/>
  <c r="P8" i="13"/>
  <c r="R49" i="13"/>
  <c r="O49" i="13"/>
  <c r="I6" i="17"/>
  <c r="P154" i="25"/>
  <c r="H130" i="36"/>
  <c r="J130" i="36" s="1"/>
  <c r="H40" i="23"/>
  <c r="H40" i="22"/>
  <c r="H350" i="20"/>
  <c r="H19" i="36"/>
  <c r="P19" i="25"/>
  <c r="Q19" i="25" s="1"/>
  <c r="Q18" i="25" s="1"/>
  <c r="H48" i="23"/>
  <c r="H48" i="22"/>
  <c r="H9" i="20"/>
  <c r="J9" i="20" s="1"/>
  <c r="J8" i="20" s="1"/>
  <c r="J132" i="20"/>
  <c r="J131" i="20" s="1"/>
  <c r="H212" i="20"/>
  <c r="J212" i="20" s="1"/>
  <c r="J211" i="20" s="1"/>
  <c r="N14" i="5"/>
  <c r="N15" i="5" s="1"/>
  <c r="N17" i="5"/>
  <c r="N18" i="5" s="1"/>
  <c r="N20" i="5"/>
  <c r="P10" i="8"/>
  <c r="S10" i="8" s="1"/>
  <c r="P9" i="2" s="1"/>
  <c r="P16" i="8"/>
  <c r="S16" i="8" s="1"/>
  <c r="P15" i="2" s="1"/>
  <c r="P20" i="8"/>
  <c r="S20" i="8" s="1"/>
  <c r="P19" i="2" s="1"/>
  <c r="H105" i="36"/>
  <c r="J105" i="36" s="1"/>
  <c r="J104" i="36" s="1"/>
  <c r="I23" i="37" s="1"/>
  <c r="H94" i="36"/>
  <c r="J94" i="36" s="1"/>
  <c r="J93" i="36" s="1"/>
  <c r="I22" i="37" s="1"/>
  <c r="H128" i="36"/>
  <c r="P91" i="25"/>
  <c r="Q91" i="25" s="1"/>
  <c r="Q90" i="25" s="1"/>
  <c r="H73" i="36"/>
  <c r="P123" i="25"/>
  <c r="Q123" i="25" s="1"/>
  <c r="Q122" i="25" s="1"/>
  <c r="P152" i="25"/>
  <c r="Q152" i="25" s="1"/>
  <c r="Q151" i="25" s="1"/>
  <c r="H59" i="36"/>
  <c r="P112" i="25"/>
  <c r="Q112" i="25" s="1"/>
  <c r="Q111" i="25" s="1"/>
  <c r="P75" i="25"/>
  <c r="H29" i="23"/>
  <c r="H29" i="22"/>
  <c r="H348" i="20"/>
  <c r="J348" i="20" s="1"/>
  <c r="J347" i="20" s="1"/>
  <c r="H272" i="20"/>
  <c r="O10" i="11"/>
  <c r="P10" i="11" s="1"/>
  <c r="Q10" i="11" s="1"/>
  <c r="L11" i="11"/>
  <c r="P11" i="11" s="1"/>
  <c r="Q11" i="11" s="1"/>
  <c r="H16" i="36"/>
  <c r="J16" i="36" s="1"/>
  <c r="J15" i="36" s="1"/>
  <c r="J8" i="37" s="1"/>
  <c r="P16" i="25"/>
  <c r="H43" i="22"/>
  <c r="J334" i="20"/>
  <c r="J333" i="20" s="1"/>
  <c r="J335" i="20" s="1"/>
  <c r="O14" i="5"/>
  <c r="P14" i="5" s="1"/>
  <c r="N16" i="5"/>
  <c r="O16" i="5" s="1"/>
  <c r="O17" i="5"/>
  <c r="N19" i="5"/>
  <c r="O19" i="5" s="1"/>
  <c r="O20" i="5"/>
  <c r="P20" i="5" s="1"/>
  <c r="B25" i="6"/>
  <c r="U29" i="10"/>
  <c r="M11" i="11"/>
  <c r="H107" i="36"/>
  <c r="J107" i="36" s="1"/>
  <c r="J106" i="36" s="1"/>
  <c r="J23" i="37" s="1"/>
  <c r="H38" i="22"/>
  <c r="H38" i="23"/>
  <c r="P125" i="25"/>
  <c r="H274" i="20"/>
  <c r="J274" i="20" s="1"/>
  <c r="J273" i="20" s="1"/>
  <c r="H11" i="36"/>
  <c r="P11" i="25"/>
  <c r="Q11" i="25" s="1"/>
  <c r="H46" i="23"/>
  <c r="H46" i="22"/>
  <c r="N334" i="40"/>
  <c r="O298" i="40"/>
  <c r="O202" i="40"/>
  <c r="G214" i="40"/>
  <c r="N378" i="40"/>
  <c r="N322" i="40"/>
  <c r="O310" i="40"/>
  <c r="K354" i="40"/>
  <c r="L155" i="40"/>
  <c r="L46" i="40"/>
  <c r="O178" i="40"/>
  <c r="N226" i="40"/>
  <c r="O190" i="40"/>
  <c r="L136" i="40"/>
  <c r="L71" i="40"/>
  <c r="C7" i="40"/>
  <c r="C6" i="40"/>
  <c r="J196" i="20"/>
  <c r="J195" i="20" s="1"/>
  <c r="J272" i="20"/>
  <c r="J271" i="20" s="1"/>
  <c r="J350" i="20"/>
  <c r="J349" i="20" s="1"/>
  <c r="P17" i="5"/>
  <c r="H80" i="36"/>
  <c r="J80" i="36" s="1"/>
  <c r="J79" i="36" s="1"/>
  <c r="I21" i="37" s="1"/>
  <c r="P98" i="25"/>
  <c r="Q98" i="25" s="1"/>
  <c r="Q97" i="25" s="1"/>
  <c r="H30" i="23"/>
  <c r="H30" i="22"/>
  <c r="H229" i="20"/>
  <c r="J229" i="20" s="1"/>
  <c r="J228" i="20" s="1"/>
  <c r="J27" i="10"/>
  <c r="N11" i="11"/>
  <c r="H98" i="36"/>
  <c r="P116" i="25"/>
  <c r="H41" i="23"/>
  <c r="H41" i="22"/>
  <c r="H256" i="20"/>
  <c r="J256" i="20" s="1"/>
  <c r="H33" i="36"/>
  <c r="J33" i="36" s="1"/>
  <c r="J32" i="36" s="1"/>
  <c r="P41" i="25"/>
  <c r="H49" i="23"/>
  <c r="H100" i="20"/>
  <c r="J100" i="20" s="1"/>
  <c r="J99" i="20" s="1"/>
  <c r="J101" i="20" s="1"/>
  <c r="H49" i="22"/>
  <c r="X21" i="13"/>
  <c r="Z21" i="13" s="1"/>
  <c r="X27" i="13"/>
  <c r="Z27" i="13" s="1"/>
  <c r="X31" i="13"/>
  <c r="Z31" i="13" s="1"/>
  <c r="X33" i="13"/>
  <c r="Z33" i="13" s="1"/>
  <c r="M44" i="25"/>
  <c r="M43" i="25" s="1"/>
  <c r="K44" i="25"/>
  <c r="K43" i="25" s="1"/>
  <c r="Q60" i="25"/>
  <c r="Q59" i="25" s="1"/>
  <c r="M60" i="25"/>
  <c r="M59" i="25" s="1"/>
  <c r="K60" i="25"/>
  <c r="K59" i="25" s="1"/>
  <c r="K72" i="25"/>
  <c r="J73" i="25"/>
  <c r="Q130" i="25"/>
  <c r="Q129" i="25" s="1"/>
  <c r="M130" i="25"/>
  <c r="M129" i="25" s="1"/>
  <c r="K130" i="25"/>
  <c r="K129" i="25" s="1"/>
  <c r="P16" i="5"/>
  <c r="P19" i="5"/>
  <c r="O11" i="11"/>
  <c r="H10" i="36"/>
  <c r="J10" i="36" s="1"/>
  <c r="J9" i="36" s="1"/>
  <c r="J7" i="37" s="1"/>
  <c r="H36" i="23"/>
  <c r="P10" i="25"/>
  <c r="Q10" i="25" s="1"/>
  <c r="Q9" i="25" s="1"/>
  <c r="H82" i="36"/>
  <c r="J82" i="36" s="1"/>
  <c r="H44" i="23"/>
  <c r="P100" i="25"/>
  <c r="H231" i="20"/>
  <c r="X6" i="13"/>
  <c r="Z6" i="13" s="1"/>
  <c r="J117" i="20"/>
  <c r="J162" i="20"/>
  <c r="J161" i="20" s="1"/>
  <c r="J164" i="20" s="1"/>
  <c r="H178" i="20"/>
  <c r="J178" i="20" s="1"/>
  <c r="J177" i="20" s="1"/>
  <c r="M41" i="25"/>
  <c r="M40" i="25" s="1"/>
  <c r="K41" i="25"/>
  <c r="K40" i="25" s="1"/>
  <c r="Q41" i="25"/>
  <c r="Q40" i="25" s="1"/>
  <c r="H120" i="36"/>
  <c r="J120" i="36" s="1"/>
  <c r="J119" i="36" s="1"/>
  <c r="H28" i="36"/>
  <c r="P135" i="25"/>
  <c r="H115" i="36"/>
  <c r="P14" i="25"/>
  <c r="Q14" i="25" s="1"/>
  <c r="Q13" i="25" s="1"/>
  <c r="H8" i="36"/>
  <c r="P36" i="25"/>
  <c r="Q36" i="25" s="1"/>
  <c r="Q35" i="25" s="1"/>
  <c r="H27" i="22"/>
  <c r="H318" i="20"/>
  <c r="J318" i="20" s="1"/>
  <c r="J317" i="20" s="1"/>
  <c r="J320" i="20" s="1"/>
  <c r="H303" i="20"/>
  <c r="J303" i="20" s="1"/>
  <c r="J302" i="20" s="1"/>
  <c r="J306" i="20" s="1"/>
  <c r="P140" i="25"/>
  <c r="Q140" i="25" s="1"/>
  <c r="Q139" i="25" s="1"/>
  <c r="P8" i="25"/>
  <c r="Q8" i="25" s="1"/>
  <c r="Q7" i="25" s="1"/>
  <c r="H27" i="23"/>
  <c r="H97" i="36"/>
  <c r="J97" i="36" s="1"/>
  <c r="H39" i="23"/>
  <c r="P115" i="25"/>
  <c r="Q115" i="25" s="1"/>
  <c r="H39" i="22"/>
  <c r="H255" i="20"/>
  <c r="J255" i="20" s="1"/>
  <c r="H96" i="36"/>
  <c r="J96" i="36" s="1"/>
  <c r="P114" i="25"/>
  <c r="P117" i="25" s="1"/>
  <c r="X47" i="13" s="1"/>
  <c r="Z47" i="13" s="1"/>
  <c r="H47" i="23"/>
  <c r="H254" i="20"/>
  <c r="J254" i="20" s="1"/>
  <c r="H47" i="22"/>
  <c r="H12" i="20"/>
  <c r="J12" i="20" s="1"/>
  <c r="H27" i="20"/>
  <c r="J27" i="20" s="1"/>
  <c r="J26" i="20" s="1"/>
  <c r="H44" i="22"/>
  <c r="Q125" i="25"/>
  <c r="Q124" i="25" s="1"/>
  <c r="M47" i="25"/>
  <c r="Q62" i="25"/>
  <c r="Q61" i="25" s="1"/>
  <c r="M62" i="25"/>
  <c r="M61" i="25" s="1"/>
  <c r="K62" i="25"/>
  <c r="K61" i="25" s="1"/>
  <c r="Q75" i="25"/>
  <c r="Q74" i="25" s="1"/>
  <c r="H13" i="29"/>
  <c r="G9" i="29"/>
  <c r="Q145" i="25"/>
  <c r="Q144" i="25" s="1"/>
  <c r="M145" i="25"/>
  <c r="M144" i="25" s="1"/>
  <c r="K145" i="25"/>
  <c r="K144" i="25" s="1"/>
  <c r="M9" i="25"/>
  <c r="Q55" i="25"/>
  <c r="Q54" i="25" s="1"/>
  <c r="I62" i="25"/>
  <c r="I145" i="25"/>
  <c r="J83" i="36"/>
  <c r="I41" i="25"/>
  <c r="I69" i="25"/>
  <c r="I67" i="25"/>
  <c r="I65" i="25"/>
  <c r="M89" i="25"/>
  <c r="K89" i="25"/>
  <c r="G71" i="36"/>
  <c r="Q16" i="25"/>
  <c r="Q15" i="25" s="1"/>
  <c r="I26" i="25"/>
  <c r="I24" i="25"/>
  <c r="I22" i="25"/>
  <c r="Q49" i="25"/>
  <c r="Q58" i="25"/>
  <c r="Q57" i="25" s="1"/>
  <c r="M58" i="25"/>
  <c r="M57" i="25" s="1"/>
  <c r="K58" i="25"/>
  <c r="K57" i="25" s="1"/>
  <c r="M114" i="25"/>
  <c r="M113" i="25" s="1"/>
  <c r="K114" i="25"/>
  <c r="K113" i="25" s="1"/>
  <c r="Q114" i="25"/>
  <c r="M11" i="25"/>
  <c r="K11" i="25"/>
  <c r="K9" i="25" s="1"/>
  <c r="M14" i="25"/>
  <c r="M13" i="25" s="1"/>
  <c r="K14" i="25"/>
  <c r="K13" i="25" s="1"/>
  <c r="M38" i="25"/>
  <c r="M37" i="25" s="1"/>
  <c r="K38" i="25"/>
  <c r="K37" i="25" s="1"/>
  <c r="Q46" i="25"/>
  <c r="Q45" i="25" s="1"/>
  <c r="M78" i="25"/>
  <c r="M76" i="25" s="1"/>
  <c r="K78" i="25"/>
  <c r="L96" i="25"/>
  <c r="M42" i="3" s="1"/>
  <c r="M94" i="25"/>
  <c r="M93" i="25" s="1"/>
  <c r="M49" i="25"/>
  <c r="I58" i="25"/>
  <c r="I60" i="25"/>
  <c r="I78" i="25"/>
  <c r="K76" i="25"/>
  <c r="L110" i="25"/>
  <c r="M43" i="3" s="1"/>
  <c r="H42" i="36"/>
  <c r="J42" i="36" s="1"/>
  <c r="J40" i="36"/>
  <c r="M16" i="25"/>
  <c r="M15" i="25" s="1"/>
  <c r="M19" i="25"/>
  <c r="M18" i="25" s="1"/>
  <c r="M46" i="25"/>
  <c r="M45" i="25" s="1"/>
  <c r="M50" i="25"/>
  <c r="M53" i="25"/>
  <c r="M52" i="25" s="1"/>
  <c r="M95" i="25"/>
  <c r="K95" i="25"/>
  <c r="M107" i="25"/>
  <c r="K107" i="25"/>
  <c r="Q132" i="25"/>
  <c r="Q131" i="25" s="1"/>
  <c r="M132" i="25"/>
  <c r="M131" i="25" s="1"/>
  <c r="Q147" i="25"/>
  <c r="Q146" i="25" s="1"/>
  <c r="M147" i="25"/>
  <c r="M146" i="25" s="1"/>
  <c r="J25" i="36"/>
  <c r="J24" i="36" s="1"/>
  <c r="H99" i="36"/>
  <c r="J99" i="36" s="1"/>
  <c r="M137" i="25"/>
  <c r="M136" i="25" s="1"/>
  <c r="K137" i="25"/>
  <c r="K136" i="25" s="1"/>
  <c r="I147" i="25"/>
  <c r="M152" i="25"/>
  <c r="M151" i="25" s="1"/>
  <c r="K152" i="25"/>
  <c r="K151" i="25" s="1"/>
  <c r="Q154" i="25"/>
  <c r="Q153" i="25" s="1"/>
  <c r="J73" i="36"/>
  <c r="J72" i="36" s="1"/>
  <c r="I20" i="37" s="1"/>
  <c r="J98" i="36"/>
  <c r="M73" i="25"/>
  <c r="M88" i="25"/>
  <c r="K88" i="25"/>
  <c r="K87" i="25" s="1"/>
  <c r="M106" i="25"/>
  <c r="K106" i="25"/>
  <c r="K103" i="25" s="1"/>
  <c r="Q128" i="25"/>
  <c r="Q127" i="25" s="1"/>
  <c r="M128" i="25"/>
  <c r="M127" i="25" s="1"/>
  <c r="Q135" i="25"/>
  <c r="Q134" i="25" s="1"/>
  <c r="M140" i="25"/>
  <c r="M139" i="25" s="1"/>
  <c r="K140" i="25"/>
  <c r="K139" i="25" s="1"/>
  <c r="Q143" i="25"/>
  <c r="Q142" i="25" s="1"/>
  <c r="M143" i="25"/>
  <c r="M142" i="25" s="1"/>
  <c r="H9" i="29"/>
  <c r="J8" i="36"/>
  <c r="J7" i="36" s="1"/>
  <c r="J28" i="36"/>
  <c r="J27" i="36" s="1"/>
  <c r="J50" i="36"/>
  <c r="J49" i="36" s="1"/>
  <c r="J53" i="36"/>
  <c r="J52" i="36" s="1"/>
  <c r="J59" i="36"/>
  <c r="J58" i="36" s="1"/>
  <c r="I18" i="37" s="1"/>
  <c r="H83" i="36"/>
  <c r="M121" i="25"/>
  <c r="M119" i="25" s="1"/>
  <c r="K121" i="25"/>
  <c r="K119" i="25" s="1"/>
  <c r="M125" i="25"/>
  <c r="M124" i="25" s="1"/>
  <c r="K125" i="25"/>
  <c r="K124" i="25" s="1"/>
  <c r="J19" i="36"/>
  <c r="J18" i="36" s="1"/>
  <c r="J38" i="36"/>
  <c r="J37" i="36" s="1"/>
  <c r="I14" i="37" s="1"/>
  <c r="J112" i="36"/>
  <c r="J111" i="36" s="1"/>
  <c r="I24" i="37" s="1"/>
  <c r="J115" i="36"/>
  <c r="J114" i="36" s="1"/>
  <c r="Q69" i="25"/>
  <c r="Q68" i="25" s="1"/>
  <c r="M72" i="25"/>
  <c r="I73" i="25"/>
  <c r="K94" i="25"/>
  <c r="G78" i="36"/>
  <c r="M96" i="25"/>
  <c r="K96" i="25"/>
  <c r="Q116" i="25"/>
  <c r="K128" i="25"/>
  <c r="K127" i="25" s="1"/>
  <c r="K143" i="25"/>
  <c r="K142" i="25" s="1"/>
  <c r="J11" i="36"/>
  <c r="J14" i="36"/>
  <c r="J13" i="36" s="1"/>
  <c r="M117" i="25"/>
  <c r="N10" i="37"/>
  <c r="M10" i="37"/>
  <c r="L10" i="37"/>
  <c r="I81" i="25"/>
  <c r="I83" i="25"/>
  <c r="M154" i="25"/>
  <c r="M153" i="25" s="1"/>
  <c r="Q117" i="25"/>
  <c r="O17" i="37"/>
  <c r="M17" i="37"/>
  <c r="L17" i="37"/>
  <c r="M81" i="25"/>
  <c r="M80" i="25" s="1"/>
  <c r="M83" i="25"/>
  <c r="M82" i="25" s="1"/>
  <c r="M85" i="25"/>
  <c r="M84" i="25" s="1"/>
  <c r="J128" i="36"/>
  <c r="J127" i="36" s="1"/>
  <c r="I28" i="37" s="1"/>
  <c r="E14" i="39"/>
  <c r="E20" i="39" s="1"/>
  <c r="N19" i="37"/>
  <c r="M19" i="37"/>
  <c r="E15" i="39"/>
  <c r="E21" i="39" s="1"/>
  <c r="E23" i="39" s="1"/>
  <c r="H403" i="40"/>
  <c r="J403" i="40"/>
  <c r="K437" i="40"/>
  <c r="J437" i="40" s="1"/>
  <c r="C56" i="19" s="1"/>
  <c r="K438" i="40"/>
  <c r="M18" i="37"/>
  <c r="R232" i="40"/>
  <c r="T232" i="40" s="1"/>
  <c r="R235" i="40"/>
  <c r="T235" i="40" s="1"/>
  <c r="R236" i="40"/>
  <c r="T236" i="40" s="1"/>
  <c r="R238" i="40"/>
  <c r="T238" i="40" s="1"/>
  <c r="R229" i="40"/>
  <c r="T229" i="40" s="1"/>
  <c r="N18" i="37"/>
  <c r="F10" i="39"/>
  <c r="R233" i="40"/>
  <c r="T233" i="40" s="1"/>
  <c r="R231" i="40"/>
  <c r="T231" i="40" s="1"/>
  <c r="L13" i="37"/>
  <c r="R277" i="40"/>
  <c r="T277" i="40" s="1"/>
  <c r="R268" i="40"/>
  <c r="T268" i="40" s="1"/>
  <c r="R270" i="40"/>
  <c r="T270" i="40" s="1"/>
  <c r="R271" i="40"/>
  <c r="T271" i="40" s="1"/>
  <c r="R274" i="40"/>
  <c r="T274" i="40" s="1"/>
  <c r="K366" i="40"/>
  <c r="N390" i="40"/>
  <c r="T255" i="40"/>
  <c r="T264" i="40"/>
  <c r="R272" i="40"/>
  <c r="T272" i="40" s="1"/>
  <c r="R275" i="40"/>
  <c r="T275" i="40" s="1"/>
  <c r="R278" i="40"/>
  <c r="T278" i="40" s="1"/>
  <c r="L438" i="40"/>
  <c r="J438" i="40"/>
  <c r="C55" i="19" s="1"/>
  <c r="R250" i="40"/>
  <c r="T250" i="40" s="1"/>
  <c r="R262" i="40"/>
  <c r="T262" i="40" s="1"/>
  <c r="T285" i="40"/>
  <c r="R291" i="40"/>
  <c r="T291" i="40" s="1"/>
  <c r="L437" i="40"/>
  <c r="R248" i="40"/>
  <c r="T248" i="40" s="1"/>
  <c r="R259" i="40"/>
  <c r="T259" i="40" s="1"/>
  <c r="R246" i="40"/>
  <c r="T246" i="40" s="1"/>
  <c r="R258" i="40"/>
  <c r="T258" i="40" s="1"/>
  <c r="R287" i="40"/>
  <c r="T287" i="40" s="1"/>
  <c r="R290" i="40"/>
  <c r="T290" i="40" s="1"/>
  <c r="R256" i="40"/>
  <c r="T256" i="40" s="1"/>
  <c r="J347" i="40"/>
  <c r="R179" i="48" l="1"/>
  <c r="AB200" i="48"/>
  <c r="AA198" i="48"/>
  <c r="T182" i="48"/>
  <c r="T183" i="48"/>
  <c r="R180" i="48"/>
  <c r="R198" i="48"/>
  <c r="Z147" i="48"/>
  <c r="AF146" i="48"/>
  <c r="X146" i="48"/>
  <c r="AD145" i="48"/>
  <c r="V145" i="48"/>
  <c r="AB144" i="48"/>
  <c r="Z143" i="48"/>
  <c r="AG147" i="48"/>
  <c r="Y147" i="48"/>
  <c r="AE146" i="48"/>
  <c r="W146" i="48"/>
  <c r="AC145" i="48"/>
  <c r="U145" i="48"/>
  <c r="AA144" i="48"/>
  <c r="AG143" i="48"/>
  <c r="Y143" i="48"/>
  <c r="AD147" i="48"/>
  <c r="V147" i="48"/>
  <c r="AB146" i="48"/>
  <c r="Z145" i="48"/>
  <c r="AF144" i="48"/>
  <c r="X144" i="48"/>
  <c r="AD143" i="48"/>
  <c r="V143" i="48"/>
  <c r="AE147" i="48"/>
  <c r="AG146" i="48"/>
  <c r="AG145" i="48"/>
  <c r="V144" i="48"/>
  <c r="W143" i="48"/>
  <c r="AC147" i="48"/>
  <c r="AD146" i="48"/>
  <c r="AF145" i="48"/>
  <c r="AG144" i="48"/>
  <c r="U144" i="48"/>
  <c r="U143" i="48"/>
  <c r="AB147" i="48"/>
  <c r="AC146" i="48"/>
  <c r="AE145" i="48"/>
  <c r="AE144" i="48"/>
  <c r="AF143" i="48"/>
  <c r="AA147" i="48"/>
  <c r="AA146" i="48"/>
  <c r="AB145" i="48"/>
  <c r="AD144" i="48"/>
  <c r="AE143" i="48"/>
  <c r="X147" i="48"/>
  <c r="Z146" i="48"/>
  <c r="AA145" i="48"/>
  <c r="AC144" i="48"/>
  <c r="AC143" i="48"/>
  <c r="W147" i="48"/>
  <c r="Y146" i="48"/>
  <c r="Y145" i="48"/>
  <c r="Z144" i="48"/>
  <c r="AB143" i="48"/>
  <c r="AF147" i="48"/>
  <c r="U146" i="48"/>
  <c r="W145" i="48"/>
  <c r="W144" i="48"/>
  <c r="X143" i="48"/>
  <c r="H81" i="48"/>
  <c r="H79" i="48"/>
  <c r="AF72" i="48"/>
  <c r="X72" i="48"/>
  <c r="AD71" i="48"/>
  <c r="V71" i="48"/>
  <c r="AB70" i="48"/>
  <c r="Z69" i="48"/>
  <c r="AF68" i="48"/>
  <c r="X68" i="48"/>
  <c r="AD62" i="48"/>
  <c r="V62" i="48"/>
  <c r="AB61" i="48"/>
  <c r="Z60" i="48"/>
  <c r="AF59" i="48"/>
  <c r="X59" i="48"/>
  <c r="AD58" i="48"/>
  <c r="V58" i="48"/>
  <c r="U147" i="48"/>
  <c r="G81" i="48"/>
  <c r="G79" i="48"/>
  <c r="AE72" i="48"/>
  <c r="W72" i="48"/>
  <c r="AC71" i="48"/>
  <c r="U71" i="48"/>
  <c r="AA70" i="48"/>
  <c r="AG69" i="48"/>
  <c r="Y69" i="48"/>
  <c r="AE68" i="48"/>
  <c r="W68" i="48"/>
  <c r="AC62" i="48"/>
  <c r="U62" i="48"/>
  <c r="AA61" i="48"/>
  <c r="AG60" i="48"/>
  <c r="Y60" i="48"/>
  <c r="AE59" i="48"/>
  <c r="W59" i="48"/>
  <c r="AC58" i="48"/>
  <c r="U58" i="48"/>
  <c r="V146" i="48"/>
  <c r="AD72" i="48"/>
  <c r="V72" i="48"/>
  <c r="AB71" i="48"/>
  <c r="Z70" i="48"/>
  <c r="AF69" i="48"/>
  <c r="X69" i="48"/>
  <c r="AD68" i="48"/>
  <c r="V68" i="48"/>
  <c r="AB62" i="48"/>
  <c r="Z61" i="48"/>
  <c r="AF60" i="48"/>
  <c r="X60" i="48"/>
  <c r="AD59" i="48"/>
  <c r="V59" i="48"/>
  <c r="AB58" i="48"/>
  <c r="X145" i="48"/>
  <c r="N82" i="48"/>
  <c r="N80" i="48"/>
  <c r="N78" i="48"/>
  <c r="AC72" i="48"/>
  <c r="U72" i="48"/>
  <c r="AA71" i="48"/>
  <c r="AG70" i="48"/>
  <c r="Y70" i="48"/>
  <c r="AE69" i="48"/>
  <c r="W69" i="48"/>
  <c r="AC68" i="48"/>
  <c r="U68" i="48"/>
  <c r="AA62" i="48"/>
  <c r="AG61" i="48"/>
  <c r="Y61" i="48"/>
  <c r="AE60" i="48"/>
  <c r="W60" i="48"/>
  <c r="AC59" i="48"/>
  <c r="U59" i="48"/>
  <c r="AA58" i="48"/>
  <c r="Y144" i="48"/>
  <c r="H82" i="48"/>
  <c r="H80" i="48"/>
  <c r="H78" i="48"/>
  <c r="AB72" i="48"/>
  <c r="Z71" i="48"/>
  <c r="AF70" i="48"/>
  <c r="X70" i="48"/>
  <c r="AD69" i="48"/>
  <c r="V69" i="48"/>
  <c r="AB68" i="48"/>
  <c r="Z62" i="48"/>
  <c r="AF61" i="48"/>
  <c r="X61" i="48"/>
  <c r="AD60" i="48"/>
  <c r="V60" i="48"/>
  <c r="AB59" i="48"/>
  <c r="Z58" i="48"/>
  <c r="AA143" i="48"/>
  <c r="G82" i="48"/>
  <c r="G80" i="48"/>
  <c r="F80" i="48" s="1"/>
  <c r="G78" i="48"/>
  <c r="AA72" i="48"/>
  <c r="AG71" i="48"/>
  <c r="Y71" i="48"/>
  <c r="AE70" i="48"/>
  <c r="W70" i="48"/>
  <c r="AC69" i="48"/>
  <c r="U69" i="48"/>
  <c r="AA68" i="48"/>
  <c r="AG62" i="48"/>
  <c r="Y62" i="48"/>
  <c r="AE61" i="48"/>
  <c r="W61" i="48"/>
  <c r="AC60" i="48"/>
  <c r="U60" i="48"/>
  <c r="AA59" i="48"/>
  <c r="AG58" i="48"/>
  <c r="Y58" i="48"/>
  <c r="Z72" i="48"/>
  <c r="AF71" i="48"/>
  <c r="X71" i="48"/>
  <c r="AD70" i="48"/>
  <c r="V70" i="48"/>
  <c r="AB69" i="48"/>
  <c r="Z68" i="48"/>
  <c r="AF62" i="48"/>
  <c r="X62" i="48"/>
  <c r="AD61" i="48"/>
  <c r="V61" i="48"/>
  <c r="AB60" i="48"/>
  <c r="Z59" i="48"/>
  <c r="AF58" i="48"/>
  <c r="X58" i="48"/>
  <c r="U70" i="48"/>
  <c r="AA60" i="48"/>
  <c r="AC61" i="48"/>
  <c r="N81" i="48"/>
  <c r="AA69" i="48"/>
  <c r="AG59" i="48"/>
  <c r="N79" i="48"/>
  <c r="AG68" i="48"/>
  <c r="Y59" i="48"/>
  <c r="AG72" i="48"/>
  <c r="Y68" i="48"/>
  <c r="AE58" i="48"/>
  <c r="W71" i="48"/>
  <c r="Y72" i="48"/>
  <c r="AE62" i="48"/>
  <c r="W58" i="48"/>
  <c r="W62" i="48"/>
  <c r="AC70" i="48"/>
  <c r="U61" i="48"/>
  <c r="AE71" i="48"/>
  <c r="I8" i="48"/>
  <c r="R200" i="48"/>
  <c r="R199" i="48"/>
  <c r="R197" i="48"/>
  <c r="R182" i="48"/>
  <c r="R201" i="48"/>
  <c r="R183" i="48"/>
  <c r="K7" i="48"/>
  <c r="K6" i="48" s="1"/>
  <c r="H12" i="48"/>
  <c r="H14" i="48" s="1"/>
  <c r="F13" i="48"/>
  <c r="R181" i="48"/>
  <c r="Z192" i="48"/>
  <c r="V191" i="48"/>
  <c r="Z190" i="48"/>
  <c r="V189" i="48"/>
  <c r="Z188" i="48"/>
  <c r="Z174" i="48"/>
  <c r="V173" i="48"/>
  <c r="Z172" i="48"/>
  <c r="V171" i="48"/>
  <c r="Z170" i="48"/>
  <c r="V165" i="48"/>
  <c r="Z164" i="48"/>
  <c r="V163" i="48"/>
  <c r="Z162" i="48"/>
  <c r="V161" i="48"/>
  <c r="Z156" i="48"/>
  <c r="V155" i="48"/>
  <c r="Z154" i="48"/>
  <c r="V153" i="48"/>
  <c r="Z152" i="48"/>
  <c r="AE138" i="48"/>
  <c r="W138" i="48"/>
  <c r="AB137" i="48"/>
  <c r="AG136" i="48"/>
  <c r="Y136" i="48"/>
  <c r="AD135" i="48"/>
  <c r="Z134" i="48"/>
  <c r="AC133" i="48"/>
  <c r="Z132" i="48"/>
  <c r="AE131" i="48"/>
  <c r="W131" i="48"/>
  <c r="Y192" i="48"/>
  <c r="AC191" i="48"/>
  <c r="U191" i="48"/>
  <c r="Y190" i="48"/>
  <c r="AC189" i="48"/>
  <c r="U189" i="48"/>
  <c r="Y188" i="48"/>
  <c r="Y174" i="48"/>
  <c r="AC173" i="48"/>
  <c r="U173" i="48"/>
  <c r="Y172" i="48"/>
  <c r="AC171" i="48"/>
  <c r="U171" i="48"/>
  <c r="Y170" i="48"/>
  <c r="AC165" i="48"/>
  <c r="U165" i="48"/>
  <c r="Y164" i="48"/>
  <c r="AC163" i="48"/>
  <c r="U163" i="48"/>
  <c r="Y162" i="48"/>
  <c r="AC161" i="48"/>
  <c r="U161" i="48"/>
  <c r="Y156" i="48"/>
  <c r="AC155" i="48"/>
  <c r="U155" i="48"/>
  <c r="Y154" i="48"/>
  <c r="AC153" i="48"/>
  <c r="U153" i="48"/>
  <c r="Y152" i="48"/>
  <c r="AD138" i="48"/>
  <c r="V138" i="48"/>
  <c r="AA137" i="48"/>
  <c r="AF136" i="48"/>
  <c r="X136" i="48"/>
  <c r="AC135" i="48"/>
  <c r="AG134" i="48"/>
  <c r="Y134" i="48"/>
  <c r="AB133" i="48"/>
  <c r="AG132" i="48"/>
  <c r="Y132" i="48"/>
  <c r="AD131" i="48"/>
  <c r="V131" i="48"/>
  <c r="AA130" i="48"/>
  <c r="AE129" i="48"/>
  <c r="W129" i="48"/>
  <c r="Z128" i="48"/>
  <c r="AE127" i="48"/>
  <c r="W127" i="48"/>
  <c r="AB126" i="48"/>
  <c r="AG125" i="48"/>
  <c r="Y125" i="48"/>
  <c r="AC124" i="48"/>
  <c r="AF123" i="48"/>
  <c r="X123" i="48"/>
  <c r="V192" i="48"/>
  <c r="Z191" i="48"/>
  <c r="V190" i="48"/>
  <c r="Z189" i="48"/>
  <c r="V188" i="48"/>
  <c r="V174" i="48"/>
  <c r="Z173" i="48"/>
  <c r="V172" i="48"/>
  <c r="Z171" i="48"/>
  <c r="V170" i="48"/>
  <c r="Z165" i="48"/>
  <c r="V164" i="48"/>
  <c r="Z163" i="48"/>
  <c r="V162" i="48"/>
  <c r="Z161" i="48"/>
  <c r="V156" i="48"/>
  <c r="Z155" i="48"/>
  <c r="V154" i="48"/>
  <c r="Z153" i="48"/>
  <c r="V152" i="48"/>
  <c r="AA138" i="48"/>
  <c r="AF137" i="48"/>
  <c r="X137" i="48"/>
  <c r="AC136" i="48"/>
  <c r="Z135" i="48"/>
  <c r="AD134" i="48"/>
  <c r="Y133" i="48"/>
  <c r="AD132" i="48"/>
  <c r="V132" i="48"/>
  <c r="AA131" i="48"/>
  <c r="U192" i="48"/>
  <c r="T191" i="48"/>
  <c r="T190" i="48"/>
  <c r="S189" i="48"/>
  <c r="S188" i="48"/>
  <c r="AA174" i="48"/>
  <c r="Y173" i="48"/>
  <c r="X172" i="48"/>
  <c r="X171" i="48"/>
  <c r="W170" i="48"/>
  <c r="W165" i="48"/>
  <c r="U164" i="48"/>
  <c r="T163" i="48"/>
  <c r="T162" i="48"/>
  <c r="S161" i="48"/>
  <c r="S156" i="48"/>
  <c r="AC154" i="48"/>
  <c r="AB153" i="48"/>
  <c r="AB152" i="48"/>
  <c r="X138" i="48"/>
  <c r="W137" i="48"/>
  <c r="W136" i="48"/>
  <c r="X135" i="48"/>
  <c r="W134" i="48"/>
  <c r="V133" i="48"/>
  <c r="Y130" i="48"/>
  <c r="AB129" i="48"/>
  <c r="AD128" i="48"/>
  <c r="Y127" i="48"/>
  <c r="AC126" i="48"/>
  <c r="AF125" i="48"/>
  <c r="W125" i="48"/>
  <c r="Z124" i="48"/>
  <c r="AB123" i="48"/>
  <c r="AF122" i="48"/>
  <c r="X122" i="48"/>
  <c r="AC121" i="48"/>
  <c r="Z120" i="48"/>
  <c r="AD119" i="48"/>
  <c r="Y118" i="48"/>
  <c r="AD117" i="48"/>
  <c r="V117" i="48"/>
  <c r="AA116" i="48"/>
  <c r="AF115" i="48"/>
  <c r="X115" i="48"/>
  <c r="AB114" i="48"/>
  <c r="AE113" i="48"/>
  <c r="W113" i="48"/>
  <c r="AB112" i="48"/>
  <c r="AG111" i="48"/>
  <c r="Y111" i="48"/>
  <c r="AD110" i="48"/>
  <c r="Z109" i="48"/>
  <c r="AA108" i="48"/>
  <c r="AF107" i="48"/>
  <c r="X107" i="48"/>
  <c r="T192" i="48"/>
  <c r="S191" i="48"/>
  <c r="S190" i="48"/>
  <c r="AC188" i="48"/>
  <c r="X174" i="48"/>
  <c r="X173" i="48"/>
  <c r="W172" i="48"/>
  <c r="W171" i="48"/>
  <c r="U170" i="48"/>
  <c r="T165" i="48"/>
  <c r="T164" i="48"/>
  <c r="S163" i="48"/>
  <c r="S162" i="48"/>
  <c r="AC156" i="48"/>
  <c r="AB155" i="48"/>
  <c r="AB154" i="48"/>
  <c r="AA153" i="48"/>
  <c r="AA152" i="48"/>
  <c r="V137" i="48"/>
  <c r="V136" i="48"/>
  <c r="W135" i="48"/>
  <c r="AF133" i="48"/>
  <c r="AF132" i="48"/>
  <c r="AG131" i="48"/>
  <c r="AG130" i="48"/>
  <c r="X130" i="48"/>
  <c r="AA129" i="48"/>
  <c r="AC128" i="48"/>
  <c r="AG127" i="48"/>
  <c r="X127" i="48"/>
  <c r="AA126" i="48"/>
  <c r="AE125" i="48"/>
  <c r="Y124" i="48"/>
  <c r="AA123" i="48"/>
  <c r="AE122" i="48"/>
  <c r="W122" i="48"/>
  <c r="AB121" i="48"/>
  <c r="AG120" i="48"/>
  <c r="Y120" i="48"/>
  <c r="AC119" i="48"/>
  <c r="AF118" i="48"/>
  <c r="X118" i="48"/>
  <c r="AC117" i="48"/>
  <c r="Z116" i="48"/>
  <c r="AE115" i="48"/>
  <c r="W115" i="48"/>
  <c r="AA114" i="48"/>
  <c r="AD113" i="48"/>
  <c r="V113" i="48"/>
  <c r="AA112" i="48"/>
  <c r="AF111" i="48"/>
  <c r="X111" i="48"/>
  <c r="AC110" i="48"/>
  <c r="AG109" i="48"/>
  <c r="Y109" i="48"/>
  <c r="Z108" i="48"/>
  <c r="AE107" i="48"/>
  <c r="W107" i="48"/>
  <c r="AB106" i="48"/>
  <c r="AG105" i="48"/>
  <c r="Y105" i="48"/>
  <c r="AC104" i="48"/>
  <c r="S192" i="48"/>
  <c r="AC190" i="48"/>
  <c r="AB189" i="48"/>
  <c r="AB188" i="48"/>
  <c r="W174" i="48"/>
  <c r="W173" i="48"/>
  <c r="U172" i="48"/>
  <c r="T171" i="48"/>
  <c r="T170" i="48"/>
  <c r="S165" i="48"/>
  <c r="S164" i="48"/>
  <c r="AC162" i="48"/>
  <c r="AB161" i="48"/>
  <c r="AB156" i="48"/>
  <c r="AA155" i="48"/>
  <c r="AA154" i="48"/>
  <c r="Y153" i="48"/>
  <c r="X152" i="48"/>
  <c r="AG137" i="48"/>
  <c r="AG135" i="48"/>
  <c r="AF134" i="48"/>
  <c r="AE133" i="48"/>
  <c r="AE132" i="48"/>
  <c r="AF131" i="48"/>
  <c r="AF130" i="48"/>
  <c r="W130" i="48"/>
  <c r="Z129" i="48"/>
  <c r="AB128" i="48"/>
  <c r="AF127" i="48"/>
  <c r="V127" i="48"/>
  <c r="Z126" i="48"/>
  <c r="AD125" i="48"/>
  <c r="AG124" i="48"/>
  <c r="X124" i="48"/>
  <c r="Z123" i="48"/>
  <c r="AD122" i="48"/>
  <c r="V122" i="48"/>
  <c r="AA121" i="48"/>
  <c r="AF120" i="48"/>
  <c r="X120" i="48"/>
  <c r="AB119" i="48"/>
  <c r="AE118" i="48"/>
  <c r="W118" i="48"/>
  <c r="AB117" i="48"/>
  <c r="AG116" i="48"/>
  <c r="Y116" i="48"/>
  <c r="AD115" i="48"/>
  <c r="Z114" i="48"/>
  <c r="AC113" i="48"/>
  <c r="Z112" i="48"/>
  <c r="AE111" i="48"/>
  <c r="W111" i="48"/>
  <c r="AB110" i="48"/>
  <c r="AF109" i="48"/>
  <c r="X109" i="48"/>
  <c r="Y108" i="48"/>
  <c r="AD107" i="48"/>
  <c r="V107" i="48"/>
  <c r="AA106" i="48"/>
  <c r="AF105" i="48"/>
  <c r="X105" i="48"/>
  <c r="AB104" i="48"/>
  <c r="AC192" i="48"/>
  <c r="AB191" i="48"/>
  <c r="AB190" i="48"/>
  <c r="AA189" i="48"/>
  <c r="AA188" i="48"/>
  <c r="U174" i="48"/>
  <c r="T173" i="48"/>
  <c r="T172" i="48"/>
  <c r="S171" i="48"/>
  <c r="S170" i="48"/>
  <c r="AC164" i="48"/>
  <c r="AB163" i="48"/>
  <c r="AB162" i="48"/>
  <c r="AA161" i="48"/>
  <c r="AA156" i="48"/>
  <c r="Y155" i="48"/>
  <c r="X154" i="48"/>
  <c r="X153" i="48"/>
  <c r="W152" i="48"/>
  <c r="AF138" i="48"/>
  <c r="AE137" i="48"/>
  <c r="AE136" i="48"/>
  <c r="AF135" i="48"/>
  <c r="AE134" i="48"/>
  <c r="AD133" i="48"/>
  <c r="AC132" i="48"/>
  <c r="AC131" i="48"/>
  <c r="AE130" i="48"/>
  <c r="Y129" i="48"/>
  <c r="AA128" i="48"/>
  <c r="AD127" i="48"/>
  <c r="Y126" i="48"/>
  <c r="AC125" i="48"/>
  <c r="AF124" i="48"/>
  <c r="W124" i="48"/>
  <c r="Y123" i="48"/>
  <c r="AC122" i="48"/>
  <c r="Z121" i="48"/>
  <c r="AE120" i="48"/>
  <c r="W120" i="48"/>
  <c r="AA119" i="48"/>
  <c r="AD118" i="48"/>
  <c r="V118" i="48"/>
  <c r="AA117" i="48"/>
  <c r="AF116" i="48"/>
  <c r="X116" i="48"/>
  <c r="AC115" i="48"/>
  <c r="AG114" i="48"/>
  <c r="Y114" i="48"/>
  <c r="AB113" i="48"/>
  <c r="AG112" i="48"/>
  <c r="Y112" i="48"/>
  <c r="AD111" i="48"/>
  <c r="V111" i="48"/>
  <c r="AA110" i="48"/>
  <c r="AE109" i="48"/>
  <c r="W109" i="48"/>
  <c r="X108" i="48"/>
  <c r="AB192" i="48"/>
  <c r="AA191" i="48"/>
  <c r="AA190" i="48"/>
  <c r="Y189" i="48"/>
  <c r="X188" i="48"/>
  <c r="T174" i="48"/>
  <c r="S173" i="48"/>
  <c r="S172" i="48"/>
  <c r="AC170" i="48"/>
  <c r="AB165" i="48"/>
  <c r="AB164" i="48"/>
  <c r="AA163" i="48"/>
  <c r="AA162" i="48"/>
  <c r="Y161" i="48"/>
  <c r="X156" i="48"/>
  <c r="X155" i="48"/>
  <c r="W154" i="48"/>
  <c r="W153" i="48"/>
  <c r="U152" i="48"/>
  <c r="AC138" i="48"/>
  <c r="AD137" i="48"/>
  <c r="AD136" i="48"/>
  <c r="AE135" i="48"/>
  <c r="AC134" i="48"/>
  <c r="AA133" i="48"/>
  <c r="AB132" i="48"/>
  <c r="AB131" i="48"/>
  <c r="AD130" i="48"/>
  <c r="AG129" i="48"/>
  <c r="X129" i="48"/>
  <c r="Y128" i="48"/>
  <c r="AC127" i="48"/>
  <c r="AG126" i="48"/>
  <c r="X126" i="48"/>
  <c r="AB125" i="48"/>
  <c r="AE124" i="48"/>
  <c r="W123" i="48"/>
  <c r="AB122" i="48"/>
  <c r="AG121" i="48"/>
  <c r="Y121" i="48"/>
  <c r="AD120" i="48"/>
  <c r="Z119" i="48"/>
  <c r="AC118" i="48"/>
  <c r="AA192" i="48"/>
  <c r="Y191" i="48"/>
  <c r="X190" i="48"/>
  <c r="X189" i="48"/>
  <c r="W188" i="48"/>
  <c r="S174" i="48"/>
  <c r="AC172" i="48"/>
  <c r="AB171" i="48"/>
  <c r="AB170" i="48"/>
  <c r="AA165" i="48"/>
  <c r="AA164" i="48"/>
  <c r="Y163" i="48"/>
  <c r="X162" i="48"/>
  <c r="X161" i="48"/>
  <c r="W156" i="48"/>
  <c r="W155" i="48"/>
  <c r="U154" i="48"/>
  <c r="T153" i="48"/>
  <c r="T152" i="48"/>
  <c r="AB138" i="48"/>
  <c r="AC137" i="48"/>
  <c r="AB136" i="48"/>
  <c r="AB135" i="48"/>
  <c r="AB134" i="48"/>
  <c r="Z133" i="48"/>
  <c r="AA132" i="48"/>
  <c r="Z131" i="48"/>
  <c r="AC130" i="48"/>
  <c r="AF129" i="48"/>
  <c r="X128" i="48"/>
  <c r="AB127" i="48"/>
  <c r="AF126" i="48"/>
  <c r="W126" i="48"/>
  <c r="AA125" i="48"/>
  <c r="AD124" i="48"/>
  <c r="AE123" i="48"/>
  <c r="V123" i="48"/>
  <c r="AA122" i="48"/>
  <c r="AF121" i="48"/>
  <c r="X121" i="48"/>
  <c r="AC120" i="48"/>
  <c r="AG119" i="48"/>
  <c r="Y119" i="48"/>
  <c r="AB118" i="48"/>
  <c r="AG117" i="48"/>
  <c r="Y117" i="48"/>
  <c r="AD116" i="48"/>
  <c r="V116" i="48"/>
  <c r="AA115" i="48"/>
  <c r="AE114" i="48"/>
  <c r="W114" i="48"/>
  <c r="Z113" i="48"/>
  <c r="AE112" i="48"/>
  <c r="W112" i="48"/>
  <c r="AB111" i="48"/>
  <c r="AG110" i="48"/>
  <c r="Y110" i="48"/>
  <c r="AC109" i="48"/>
  <c r="AD108" i="48"/>
  <c r="V108" i="48"/>
  <c r="AA107" i="48"/>
  <c r="AF106" i="48"/>
  <c r="X106" i="48"/>
  <c r="AC105" i="48"/>
  <c r="AG104" i="48"/>
  <c r="Y104" i="48"/>
  <c r="W192" i="48"/>
  <c r="W191" i="48"/>
  <c r="U190" i="48"/>
  <c r="T189" i="48"/>
  <c r="T188" i="48"/>
  <c r="AB174" i="48"/>
  <c r="AA173" i="48"/>
  <c r="AA172" i="48"/>
  <c r="Y171" i="48"/>
  <c r="X170" i="48"/>
  <c r="X165" i="48"/>
  <c r="W164" i="48"/>
  <c r="W163" i="48"/>
  <c r="U162" i="48"/>
  <c r="T161" i="48"/>
  <c r="T156" i="48"/>
  <c r="S155" i="48"/>
  <c r="S154" i="48"/>
  <c r="AC152" i="48"/>
  <c r="Y138" i="48"/>
  <c r="Y137" i="48"/>
  <c r="Z136" i="48"/>
  <c r="Y135" i="48"/>
  <c r="X134" i="48"/>
  <c r="W133" i="48"/>
  <c r="W132" i="48"/>
  <c r="X131" i="48"/>
  <c r="X164" i="48"/>
  <c r="S152" i="48"/>
  <c r="AA136" i="48"/>
  <c r="AD129" i="48"/>
  <c r="AE126" i="48"/>
  <c r="AD123" i="48"/>
  <c r="W121" i="48"/>
  <c r="AA118" i="48"/>
  <c r="AE116" i="48"/>
  <c r="Y115" i="48"/>
  <c r="Y113" i="48"/>
  <c r="AC111" i="48"/>
  <c r="W110" i="48"/>
  <c r="AE106" i="48"/>
  <c r="AE105" i="48"/>
  <c r="AE104" i="48"/>
  <c r="AC103" i="48"/>
  <c r="Z102" i="48"/>
  <c r="AE101" i="48"/>
  <c r="W101" i="48"/>
  <c r="AB100" i="48"/>
  <c r="AF99" i="48"/>
  <c r="X99" i="48"/>
  <c r="Y98" i="48"/>
  <c r="AD97" i="48"/>
  <c r="V97" i="48"/>
  <c r="AA96" i="48"/>
  <c r="AF95" i="48"/>
  <c r="X95" i="48"/>
  <c r="AB94" i="48"/>
  <c r="AC93" i="48"/>
  <c r="Z92" i="48"/>
  <c r="AE91" i="48"/>
  <c r="W91" i="48"/>
  <c r="AB90" i="48"/>
  <c r="AF89" i="48"/>
  <c r="X89" i="48"/>
  <c r="Z127" i="48"/>
  <c r="X192" i="48"/>
  <c r="X163" i="48"/>
  <c r="AA135" i="48"/>
  <c r="AC129" i="48"/>
  <c r="AD126" i="48"/>
  <c r="AC123" i="48"/>
  <c r="V121" i="48"/>
  <c r="Z118" i="48"/>
  <c r="AC116" i="48"/>
  <c r="AF114" i="48"/>
  <c r="X113" i="48"/>
  <c r="AA111" i="48"/>
  <c r="AD109" i="48"/>
  <c r="AG107" i="48"/>
  <c r="AD106" i="48"/>
  <c r="AD105" i="48"/>
  <c r="AD104" i="48"/>
  <c r="AB103" i="48"/>
  <c r="AG102" i="48"/>
  <c r="Y102" i="48"/>
  <c r="AD101" i="48"/>
  <c r="V101" i="48"/>
  <c r="AA100" i="48"/>
  <c r="AE99" i="48"/>
  <c r="W99" i="48"/>
  <c r="X98" i="48"/>
  <c r="AC97" i="48"/>
  <c r="Z96" i="48"/>
  <c r="AE95" i="48"/>
  <c r="W95" i="48"/>
  <c r="AA94" i="48"/>
  <c r="AB93" i="48"/>
  <c r="AG92" i="48"/>
  <c r="Y92" i="48"/>
  <c r="AD91" i="48"/>
  <c r="V91" i="48"/>
  <c r="AA90" i="48"/>
  <c r="AE89" i="48"/>
  <c r="W89" i="48"/>
  <c r="Z130" i="48"/>
  <c r="AA124" i="48"/>
  <c r="AD121" i="48"/>
  <c r="W117" i="48"/>
  <c r="AA113" i="48"/>
  <c r="X110" i="48"/>
  <c r="AG106" i="48"/>
  <c r="AF104" i="48"/>
  <c r="V103" i="48"/>
  <c r="AF101" i="48"/>
  <c r="AC100" i="48"/>
  <c r="Z98" i="48"/>
  <c r="W97" i="48"/>
  <c r="AG95" i="48"/>
  <c r="AC94" i="48"/>
  <c r="V93" i="48"/>
  <c r="X191" i="48"/>
  <c r="AC174" i="48"/>
  <c r="W162" i="48"/>
  <c r="AA134" i="48"/>
  <c r="AF128" i="48"/>
  <c r="V126" i="48"/>
  <c r="AB120" i="48"/>
  <c r="AB116" i="48"/>
  <c r="AD114" i="48"/>
  <c r="AF112" i="48"/>
  <c r="Z111" i="48"/>
  <c r="AB109" i="48"/>
  <c r="AC107" i="48"/>
  <c r="AC106" i="48"/>
  <c r="AB105" i="48"/>
  <c r="AA104" i="48"/>
  <c r="AA103" i="48"/>
  <c r="AF102" i="48"/>
  <c r="X102" i="48"/>
  <c r="AC101" i="48"/>
  <c r="Z100" i="48"/>
  <c r="AD99" i="48"/>
  <c r="W98" i="48"/>
  <c r="AB97" i="48"/>
  <c r="AG96" i="48"/>
  <c r="Y96" i="48"/>
  <c r="AD95" i="48"/>
  <c r="Z94" i="48"/>
  <c r="AA93" i="48"/>
  <c r="AF92" i="48"/>
  <c r="X92" i="48"/>
  <c r="AC91" i="48"/>
  <c r="Z90" i="48"/>
  <c r="AD89" i="48"/>
  <c r="X101" i="48"/>
  <c r="W190" i="48"/>
  <c r="AB173" i="48"/>
  <c r="W161" i="48"/>
  <c r="X133" i="48"/>
  <c r="AE128" i="48"/>
  <c r="AG122" i="48"/>
  <c r="AA120" i="48"/>
  <c r="AF117" i="48"/>
  <c r="W116" i="48"/>
  <c r="AC114" i="48"/>
  <c r="AD112" i="48"/>
  <c r="AA109" i="48"/>
  <c r="AB107" i="48"/>
  <c r="Z106" i="48"/>
  <c r="AA105" i="48"/>
  <c r="Z104" i="48"/>
  <c r="Z103" i="48"/>
  <c r="AE102" i="48"/>
  <c r="W102" i="48"/>
  <c r="AB101" i="48"/>
  <c r="AG100" i="48"/>
  <c r="Y100" i="48"/>
  <c r="AC99" i="48"/>
  <c r="AD98" i="48"/>
  <c r="V98" i="48"/>
  <c r="AA97" i="48"/>
  <c r="AF96" i="48"/>
  <c r="X96" i="48"/>
  <c r="AC95" i="48"/>
  <c r="AG94" i="48"/>
  <c r="Y94" i="48"/>
  <c r="Z93" i="48"/>
  <c r="AE92" i="48"/>
  <c r="W92" i="48"/>
  <c r="AB91" i="48"/>
  <c r="AG90" i="48"/>
  <c r="Y90" i="48"/>
  <c r="AC89" i="48"/>
  <c r="W189" i="48"/>
  <c r="AB172" i="48"/>
  <c r="U156" i="48"/>
  <c r="X132" i="48"/>
  <c r="W128" i="48"/>
  <c r="Z125" i="48"/>
  <c r="Z122" i="48"/>
  <c r="AF119" i="48"/>
  <c r="AE117" i="48"/>
  <c r="X114" i="48"/>
  <c r="AC112" i="48"/>
  <c r="AF110" i="48"/>
  <c r="Z107" i="48"/>
  <c r="Y106" i="48"/>
  <c r="Z105" i="48"/>
  <c r="X104" i="48"/>
  <c r="Y103" i="48"/>
  <c r="AD102" i="48"/>
  <c r="V102" i="48"/>
  <c r="AA101" i="48"/>
  <c r="AF100" i="48"/>
  <c r="X100" i="48"/>
  <c r="AB99" i="48"/>
  <c r="AC98" i="48"/>
  <c r="Z97" i="48"/>
  <c r="AE96" i="48"/>
  <c r="W96" i="48"/>
  <c r="AB95" i="48"/>
  <c r="AF94" i="48"/>
  <c r="X94" i="48"/>
  <c r="Y93" i="48"/>
  <c r="AD92" i="48"/>
  <c r="V92" i="48"/>
  <c r="AA91" i="48"/>
  <c r="AF90" i="48"/>
  <c r="X90" i="48"/>
  <c r="AB89" i="48"/>
  <c r="U188" i="48"/>
  <c r="AA171" i="48"/>
  <c r="T155" i="48"/>
  <c r="Y131" i="48"/>
  <c r="V128" i="48"/>
  <c r="X125" i="48"/>
  <c r="Y122" i="48"/>
  <c r="AE119" i="48"/>
  <c r="Z117" i="48"/>
  <c r="AG115" i="48"/>
  <c r="X112" i="48"/>
  <c r="AE110" i="48"/>
  <c r="AC108" i="48"/>
  <c r="Y107" i="48"/>
  <c r="W106" i="48"/>
  <c r="W105" i="48"/>
  <c r="W104" i="48"/>
  <c r="S104" i="48" s="1"/>
  <c r="X103" i="48"/>
  <c r="AC102" i="48"/>
  <c r="Z101" i="48"/>
  <c r="AE100" i="48"/>
  <c r="W100" i="48"/>
  <c r="AA99" i="48"/>
  <c r="AB98" i="48"/>
  <c r="AG97" i="48"/>
  <c r="Y97" i="48"/>
  <c r="AD96" i="48"/>
  <c r="V96" i="48"/>
  <c r="AA95" i="48"/>
  <c r="AE94" i="48"/>
  <c r="W94" i="48"/>
  <c r="X93" i="48"/>
  <c r="AC92" i="48"/>
  <c r="Z91" i="48"/>
  <c r="AE90" i="48"/>
  <c r="W90" i="48"/>
  <c r="AA89" i="48"/>
  <c r="Y165" i="48"/>
  <c r="W119" i="48"/>
  <c r="Z115" i="48"/>
  <c r="W108" i="48"/>
  <c r="AD103" i="48"/>
  <c r="AA102" i="48"/>
  <c r="AG99" i="48"/>
  <c r="AE97" i="48"/>
  <c r="AB96" i="48"/>
  <c r="Y95" i="48"/>
  <c r="AD93" i="48"/>
  <c r="AA92" i="48"/>
  <c r="AG89" i="48"/>
  <c r="AA170" i="48"/>
  <c r="T154" i="48"/>
  <c r="Z138" i="48"/>
  <c r="AB130" i="48"/>
  <c r="AA127" i="48"/>
  <c r="AB124" i="48"/>
  <c r="AE121" i="48"/>
  <c r="X119" i="48"/>
  <c r="X117" i="48"/>
  <c r="AB115" i="48"/>
  <c r="AF113" i="48"/>
  <c r="V112" i="48"/>
  <c r="Z110" i="48"/>
  <c r="AB108" i="48"/>
  <c r="V106" i="48"/>
  <c r="W103" i="48"/>
  <c r="AB102" i="48"/>
  <c r="AG101" i="48"/>
  <c r="Y101" i="48"/>
  <c r="AD100" i="48"/>
  <c r="Z99" i="48"/>
  <c r="AA98" i="48"/>
  <c r="AF97" i="48"/>
  <c r="X97" i="48"/>
  <c r="AC96" i="48"/>
  <c r="Z95" i="48"/>
  <c r="AD94" i="48"/>
  <c r="W93" i="48"/>
  <c r="AB92" i="48"/>
  <c r="AG91" i="48"/>
  <c r="Y91" i="48"/>
  <c r="AD90" i="48"/>
  <c r="Z89" i="48"/>
  <c r="Y99" i="48"/>
  <c r="Y89" i="48"/>
  <c r="S153" i="48"/>
  <c r="AF91" i="48"/>
  <c r="Z137" i="48"/>
  <c r="AC90" i="48"/>
  <c r="X91" i="48"/>
  <c r="H45" i="36"/>
  <c r="J45" i="36" s="1"/>
  <c r="J44" i="36" s="1"/>
  <c r="P53" i="25"/>
  <c r="Q53" i="25" s="1"/>
  <c r="Q52" i="25" s="1"/>
  <c r="H130" i="20"/>
  <c r="J130" i="20" s="1"/>
  <c r="J129" i="20" s="1"/>
  <c r="J134" i="20" s="1"/>
  <c r="H11" i="23"/>
  <c r="H11" i="22"/>
  <c r="X14" i="3"/>
  <c r="Z14" i="3" s="1"/>
  <c r="J201" i="20"/>
  <c r="J200" i="20"/>
  <c r="J199" i="20"/>
  <c r="H36" i="36"/>
  <c r="J36" i="36" s="1"/>
  <c r="J35" i="36" s="1"/>
  <c r="P44" i="25"/>
  <c r="Q44" i="25" s="1"/>
  <c r="Q43" i="25" s="1"/>
  <c r="H10" i="23"/>
  <c r="H10" i="22"/>
  <c r="H112" i="20"/>
  <c r="J112" i="20" s="1"/>
  <c r="J111" i="20" s="1"/>
  <c r="X12" i="3"/>
  <c r="Z12" i="3" s="1"/>
  <c r="E55" i="23"/>
  <c r="K55" i="23" s="1"/>
  <c r="E55" i="22"/>
  <c r="J118" i="36"/>
  <c r="I26" i="37"/>
  <c r="K26" i="37" s="1"/>
  <c r="J75" i="20"/>
  <c r="J74" i="20"/>
  <c r="J73" i="20"/>
  <c r="H9" i="38"/>
  <c r="I9" i="38" s="1"/>
  <c r="P106" i="25"/>
  <c r="Q106" i="25" s="1"/>
  <c r="H88" i="36"/>
  <c r="J88" i="36" s="1"/>
  <c r="H14" i="23"/>
  <c r="H14" i="22"/>
  <c r="H246" i="20"/>
  <c r="J246" i="20" s="1"/>
  <c r="X20" i="3"/>
  <c r="Z20" i="3" s="1"/>
  <c r="J88" i="20"/>
  <c r="J91" i="20" s="1"/>
  <c r="J92" i="20" s="1"/>
  <c r="J90" i="20"/>
  <c r="J89" i="20"/>
  <c r="AC20" i="5"/>
  <c r="AF20" i="5"/>
  <c r="AE20" i="5"/>
  <c r="AD20" i="5"/>
  <c r="I150" i="25"/>
  <c r="I152" i="25"/>
  <c r="I154" i="25"/>
  <c r="E22" i="39"/>
  <c r="I8" i="37"/>
  <c r="K8" i="37" s="1"/>
  <c r="J12" i="36"/>
  <c r="J16" i="37"/>
  <c r="J48" i="36"/>
  <c r="M87" i="25"/>
  <c r="J11" i="37"/>
  <c r="J23" i="36"/>
  <c r="Q113" i="25"/>
  <c r="J27" i="22"/>
  <c r="E33" i="23"/>
  <c r="E9" i="23"/>
  <c r="E9" i="22"/>
  <c r="N27" i="10"/>
  <c r="AA27" i="10"/>
  <c r="L27" i="10"/>
  <c r="Y27" i="10"/>
  <c r="S27" i="10"/>
  <c r="P27" i="10"/>
  <c r="E33" i="22"/>
  <c r="N136" i="40"/>
  <c r="M136" i="40"/>
  <c r="P322" i="40"/>
  <c r="O322" i="40"/>
  <c r="Z41" i="13"/>
  <c r="AA41" i="13" s="1"/>
  <c r="J108" i="36"/>
  <c r="G24" i="37"/>
  <c r="K24" i="37" s="1"/>
  <c r="AE10" i="5"/>
  <c r="AD10" i="5"/>
  <c r="AC10" i="5"/>
  <c r="AF10" i="5"/>
  <c r="O25" i="5"/>
  <c r="P25" i="5" s="1"/>
  <c r="O24" i="37"/>
  <c r="N24" i="37"/>
  <c r="M24" i="37"/>
  <c r="H118" i="20"/>
  <c r="J118" i="20" s="1"/>
  <c r="J115" i="20" s="1"/>
  <c r="O15" i="5"/>
  <c r="P15" i="5" s="1"/>
  <c r="J50" i="23"/>
  <c r="G19" i="37"/>
  <c r="J63" i="36"/>
  <c r="K51" i="22"/>
  <c r="I51" i="22"/>
  <c r="J10" i="20"/>
  <c r="J13" i="20" s="1"/>
  <c r="I37" i="22"/>
  <c r="K53" i="22"/>
  <c r="I53" i="22"/>
  <c r="O28" i="37"/>
  <c r="N28" i="37"/>
  <c r="M28" i="37"/>
  <c r="AA14" i="10"/>
  <c r="I8" i="25"/>
  <c r="I11" i="25"/>
  <c r="I10" i="25"/>
  <c r="J12" i="10"/>
  <c r="AA13" i="10"/>
  <c r="J15" i="10"/>
  <c r="I16" i="25"/>
  <c r="I14" i="25"/>
  <c r="O23" i="37"/>
  <c r="N23" i="37"/>
  <c r="M23" i="37"/>
  <c r="L47" i="13"/>
  <c r="W47" i="13"/>
  <c r="W45" i="13" s="1"/>
  <c r="S47" i="13"/>
  <c r="S45" i="13" s="1"/>
  <c r="P47" i="13"/>
  <c r="AA47" i="13"/>
  <c r="Y47" i="13"/>
  <c r="N47" i="13"/>
  <c r="O25" i="37"/>
  <c r="M25" i="37"/>
  <c r="L25" i="37"/>
  <c r="P43" i="13"/>
  <c r="AA43" i="13"/>
  <c r="N43" i="13"/>
  <c r="L43" i="13"/>
  <c r="Y43" i="13"/>
  <c r="W43" i="13"/>
  <c r="S43" i="13"/>
  <c r="E50" i="23"/>
  <c r="I50" i="23" s="1"/>
  <c r="Y35" i="13"/>
  <c r="N35" i="13"/>
  <c r="W35" i="13"/>
  <c r="L35" i="13"/>
  <c r="E50" i="22"/>
  <c r="I50" i="22" s="1"/>
  <c r="S35" i="13"/>
  <c r="AA35" i="13"/>
  <c r="P35" i="13"/>
  <c r="I120" i="25"/>
  <c r="I123" i="25"/>
  <c r="I125" i="25"/>
  <c r="I121" i="25"/>
  <c r="E23" i="23"/>
  <c r="S38" i="3"/>
  <c r="P38" i="3"/>
  <c r="N38" i="3"/>
  <c r="E23" i="22"/>
  <c r="L38" i="3"/>
  <c r="I135" i="25"/>
  <c r="I137" i="25"/>
  <c r="P390" i="40"/>
  <c r="O390" i="40"/>
  <c r="I12" i="37"/>
  <c r="K12" i="37" s="1"/>
  <c r="J26" i="36"/>
  <c r="Q48" i="25"/>
  <c r="J47" i="22"/>
  <c r="J39" i="23"/>
  <c r="J13" i="37"/>
  <c r="J31" i="36"/>
  <c r="Q190" i="40"/>
  <c r="P190" i="40"/>
  <c r="O378" i="40"/>
  <c r="P378" i="40"/>
  <c r="R37" i="13"/>
  <c r="S37" i="13" s="1"/>
  <c r="O37" i="13"/>
  <c r="P37" i="13" s="1"/>
  <c r="AF13" i="5"/>
  <c r="AE13" i="5"/>
  <c r="AD13" i="5"/>
  <c r="AC13" i="5"/>
  <c r="I128" i="25"/>
  <c r="I132" i="25"/>
  <c r="I130" i="25"/>
  <c r="I36" i="25"/>
  <c r="I38" i="25"/>
  <c r="J46" i="20"/>
  <c r="I51" i="23"/>
  <c r="K51" i="23"/>
  <c r="Y41" i="13"/>
  <c r="I53" i="23"/>
  <c r="K53" i="23"/>
  <c r="M15" i="37"/>
  <c r="N15" i="37"/>
  <c r="O15" i="37"/>
  <c r="P11" i="5"/>
  <c r="R48" i="1"/>
  <c r="R7" i="1"/>
  <c r="O7" i="37"/>
  <c r="M7" i="37"/>
  <c r="L7" i="37"/>
  <c r="N8" i="37"/>
  <c r="M8" i="37"/>
  <c r="L8" i="37"/>
  <c r="P8" i="37" s="1"/>
  <c r="O8" i="37"/>
  <c r="E17" i="23"/>
  <c r="E17" i="22"/>
  <c r="N26" i="3"/>
  <c r="L26" i="3"/>
  <c r="S26" i="3"/>
  <c r="P26" i="3"/>
  <c r="E47" i="23"/>
  <c r="I47" i="23" s="1"/>
  <c r="E47" i="22"/>
  <c r="I47" i="22" s="1"/>
  <c r="Y29" i="13"/>
  <c r="N29" i="13"/>
  <c r="W29" i="13"/>
  <c r="L29" i="13"/>
  <c r="S29" i="13"/>
  <c r="AA29" i="13"/>
  <c r="P29" i="13"/>
  <c r="S39" i="1"/>
  <c r="I49" i="23"/>
  <c r="H232" i="20"/>
  <c r="J232" i="20" s="1"/>
  <c r="J230" i="20"/>
  <c r="E13" i="23"/>
  <c r="E13" i="22"/>
  <c r="N18" i="3"/>
  <c r="L18" i="3"/>
  <c r="S18" i="3"/>
  <c r="P18" i="3"/>
  <c r="J40" i="22"/>
  <c r="AB17" i="5"/>
  <c r="AB14" i="5"/>
  <c r="AB24" i="5"/>
  <c r="AB22" i="5"/>
  <c r="AB18" i="5"/>
  <c r="AB15" i="5"/>
  <c r="AB25" i="5"/>
  <c r="AB23" i="5"/>
  <c r="AB6" i="5"/>
  <c r="AF9" i="5"/>
  <c r="AE9" i="5"/>
  <c r="AD9" i="5"/>
  <c r="AC9" i="5"/>
  <c r="AF16" i="5"/>
  <c r="AE16" i="5"/>
  <c r="AD16" i="5"/>
  <c r="AC16" i="5"/>
  <c r="AL16" i="5" s="1"/>
  <c r="AN16" i="5" s="1"/>
  <c r="AO16" i="5" s="1"/>
  <c r="N13" i="2" s="1"/>
  <c r="U13" i="2" s="1"/>
  <c r="V13" i="2" s="1"/>
  <c r="O12" i="37"/>
  <c r="N12" i="37"/>
  <c r="M12" i="37"/>
  <c r="L12" i="37"/>
  <c r="J45" i="23"/>
  <c r="K42" i="23"/>
  <c r="J42" i="23"/>
  <c r="AA22" i="10"/>
  <c r="J21" i="10"/>
  <c r="E48" i="22"/>
  <c r="I48" i="22" s="1"/>
  <c r="Y31" i="13"/>
  <c r="N31" i="13"/>
  <c r="W31" i="13"/>
  <c r="L31" i="13"/>
  <c r="E48" i="23"/>
  <c r="I48" i="23" s="1"/>
  <c r="S31" i="13"/>
  <c r="AA31" i="13"/>
  <c r="P31" i="13"/>
  <c r="T48" i="1"/>
  <c r="T7" i="1"/>
  <c r="E10" i="22"/>
  <c r="I10" i="22" s="1"/>
  <c r="E10" i="23"/>
  <c r="I10" i="23" s="1"/>
  <c r="P12" i="3"/>
  <c r="AA12" i="3"/>
  <c r="N12" i="3"/>
  <c r="Y12" i="3"/>
  <c r="L12" i="3"/>
  <c r="S12" i="3"/>
  <c r="I50" i="25"/>
  <c r="I46" i="25"/>
  <c r="I49" i="25"/>
  <c r="I48" i="25"/>
  <c r="I44" i="25"/>
  <c r="E16" i="23"/>
  <c r="E16" i="22"/>
  <c r="L24" i="3"/>
  <c r="S24" i="3"/>
  <c r="P24" i="3"/>
  <c r="N24" i="3"/>
  <c r="E39" i="22"/>
  <c r="I39" i="22" s="1"/>
  <c r="Y12" i="13"/>
  <c r="N12" i="13"/>
  <c r="W12" i="13"/>
  <c r="L12" i="13"/>
  <c r="E39" i="23"/>
  <c r="I39" i="23" s="1"/>
  <c r="S12" i="13"/>
  <c r="P12" i="13"/>
  <c r="AA12" i="13"/>
  <c r="R26" i="1"/>
  <c r="I91" i="25"/>
  <c r="I88" i="25"/>
  <c r="I89" i="25"/>
  <c r="T39" i="1"/>
  <c r="K39" i="22"/>
  <c r="J39" i="22"/>
  <c r="Q310" i="40"/>
  <c r="P310" i="40"/>
  <c r="J294" i="20"/>
  <c r="J293" i="20"/>
  <c r="J292" i="20"/>
  <c r="J295" i="20" s="1"/>
  <c r="J296" i="20" s="1"/>
  <c r="K42" i="22"/>
  <c r="J42" i="22"/>
  <c r="E22" i="22"/>
  <c r="E22" i="23"/>
  <c r="P36" i="3"/>
  <c r="N36" i="3"/>
  <c r="L36" i="3"/>
  <c r="S36" i="3"/>
  <c r="E15" i="23"/>
  <c r="E15" i="22"/>
  <c r="S22" i="3"/>
  <c r="P22" i="3"/>
  <c r="N22" i="3"/>
  <c r="L22" i="3"/>
  <c r="K93" i="25"/>
  <c r="J39" i="36"/>
  <c r="J14" i="37" s="1"/>
  <c r="H257" i="20"/>
  <c r="J257" i="20" s="1"/>
  <c r="J253" i="20"/>
  <c r="Q100" i="25"/>
  <c r="P101" i="25"/>
  <c r="J30" i="22"/>
  <c r="Q50" i="25"/>
  <c r="J44" i="22"/>
  <c r="K47" i="23"/>
  <c r="J47" i="23"/>
  <c r="J27" i="23"/>
  <c r="J44" i="23"/>
  <c r="J41" i="22"/>
  <c r="J30" i="23"/>
  <c r="Q178" i="40"/>
  <c r="P178" i="40"/>
  <c r="Q202" i="40"/>
  <c r="P202" i="40"/>
  <c r="J40" i="23"/>
  <c r="J60" i="20"/>
  <c r="J59" i="20"/>
  <c r="J58" i="20"/>
  <c r="R39" i="13"/>
  <c r="O39" i="13"/>
  <c r="AF19" i="5"/>
  <c r="AE19" i="5"/>
  <c r="AD19" i="5"/>
  <c r="AC19" i="5"/>
  <c r="K50" i="22"/>
  <c r="J50" i="22"/>
  <c r="E44" i="23"/>
  <c r="I44" i="23" s="1"/>
  <c r="E44" i="22"/>
  <c r="I44" i="22" s="1"/>
  <c r="Y23" i="13"/>
  <c r="N23" i="13"/>
  <c r="W23" i="13"/>
  <c r="L23" i="13"/>
  <c r="S23" i="13"/>
  <c r="AA23" i="13"/>
  <c r="P23" i="13"/>
  <c r="AA26" i="10"/>
  <c r="J25" i="10"/>
  <c r="J152" i="20"/>
  <c r="J151" i="20"/>
  <c r="J150" i="20"/>
  <c r="J153" i="20" s="1"/>
  <c r="E8" i="22"/>
  <c r="E8" i="23"/>
  <c r="P8" i="3"/>
  <c r="P45" i="3" s="1"/>
  <c r="N8" i="3"/>
  <c r="AA8" i="3"/>
  <c r="L8" i="3"/>
  <c r="Y8" i="3"/>
  <c r="S8" i="3"/>
  <c r="E12" i="23"/>
  <c r="E12" i="22"/>
  <c r="L16" i="3"/>
  <c r="S16" i="3"/>
  <c r="P16" i="3"/>
  <c r="N16" i="3"/>
  <c r="O26" i="37"/>
  <c r="M26" i="37"/>
  <c r="L26" i="37"/>
  <c r="U7" i="1"/>
  <c r="U48" i="1"/>
  <c r="O14" i="37"/>
  <c r="N14" i="37"/>
  <c r="M14" i="37"/>
  <c r="E20" i="23"/>
  <c r="E20" i="22"/>
  <c r="L32" i="3"/>
  <c r="S32" i="3"/>
  <c r="P32" i="3"/>
  <c r="N32" i="3"/>
  <c r="N43" i="3"/>
  <c r="L43" i="3"/>
  <c r="W43" i="3"/>
  <c r="E41" i="23"/>
  <c r="I41" i="23" s="1"/>
  <c r="Y16" i="13"/>
  <c r="N16" i="13"/>
  <c r="E41" i="22"/>
  <c r="I41" i="22" s="1"/>
  <c r="W16" i="13"/>
  <c r="L16" i="13"/>
  <c r="S16" i="13"/>
  <c r="AA16" i="13"/>
  <c r="P16" i="13"/>
  <c r="S26" i="1"/>
  <c r="U39" i="1"/>
  <c r="R41" i="13"/>
  <c r="S41" i="13" s="1"/>
  <c r="O41" i="13"/>
  <c r="P41" i="13" s="1"/>
  <c r="E42" i="23"/>
  <c r="I42" i="23" s="1"/>
  <c r="Y18" i="13"/>
  <c r="N18" i="13"/>
  <c r="W18" i="13"/>
  <c r="L18" i="13"/>
  <c r="S18" i="13"/>
  <c r="E42" i="22"/>
  <c r="I42" i="22" s="1"/>
  <c r="AA18" i="13"/>
  <c r="P18" i="13"/>
  <c r="E11" i="23"/>
  <c r="I11" i="23" s="1"/>
  <c r="E11" i="22"/>
  <c r="S14" i="3"/>
  <c r="P14" i="3"/>
  <c r="AA14" i="3"/>
  <c r="N14" i="3"/>
  <c r="Y14" i="3"/>
  <c r="L14" i="3"/>
  <c r="P226" i="40"/>
  <c r="O226" i="40"/>
  <c r="M71" i="25"/>
  <c r="R43" i="3"/>
  <c r="S43" i="3" s="1"/>
  <c r="O43" i="3"/>
  <c r="P43" i="3" s="1"/>
  <c r="R42" i="3"/>
  <c r="O42" i="3"/>
  <c r="P42" i="3" s="1"/>
  <c r="J81" i="36"/>
  <c r="J21" i="37" s="1"/>
  <c r="J41" i="23"/>
  <c r="N46" i="40"/>
  <c r="M46" i="40"/>
  <c r="P298" i="40"/>
  <c r="Q298" i="40"/>
  <c r="J38" i="23"/>
  <c r="J29" i="22"/>
  <c r="O21" i="5"/>
  <c r="P21" i="5" s="1"/>
  <c r="R10" i="3"/>
  <c r="S10" i="3" s="1"/>
  <c r="O10" i="3"/>
  <c r="P10" i="3" s="1"/>
  <c r="J28" i="20"/>
  <c r="J10" i="37"/>
  <c r="J20" i="36"/>
  <c r="P23" i="5"/>
  <c r="O23" i="5"/>
  <c r="J27" i="37"/>
  <c r="J121" i="36"/>
  <c r="E52" i="23"/>
  <c r="E52" i="22"/>
  <c r="S39" i="13"/>
  <c r="AA39" i="13"/>
  <c r="P39" i="13"/>
  <c r="Y39" i="13"/>
  <c r="N39" i="13"/>
  <c r="W39" i="13"/>
  <c r="L39" i="13"/>
  <c r="H181" i="20"/>
  <c r="J181" i="20" s="1"/>
  <c r="J179" i="20"/>
  <c r="I98" i="25"/>
  <c r="I94" i="25"/>
  <c r="I101" i="25"/>
  <c r="I100" i="25"/>
  <c r="I95" i="25"/>
  <c r="I96" i="25"/>
  <c r="N37" i="13"/>
  <c r="E14" i="23"/>
  <c r="I14" i="23" s="1"/>
  <c r="E14" i="22"/>
  <c r="P20" i="3"/>
  <c r="AA20" i="3"/>
  <c r="N20" i="3"/>
  <c r="Y20" i="3"/>
  <c r="L20" i="3"/>
  <c r="S20" i="3"/>
  <c r="P41" i="3"/>
  <c r="N41" i="3"/>
  <c r="J40" i="3"/>
  <c r="L41" i="3"/>
  <c r="W41" i="3"/>
  <c r="S41" i="3"/>
  <c r="O20" i="37"/>
  <c r="N20" i="37"/>
  <c r="M20" i="37"/>
  <c r="S7" i="1"/>
  <c r="I25" i="37"/>
  <c r="K25" i="37" s="1"/>
  <c r="J113" i="36"/>
  <c r="J322" i="20"/>
  <c r="J321" i="20"/>
  <c r="J323" i="20"/>
  <c r="E21" i="23"/>
  <c r="E21" i="22"/>
  <c r="N34" i="3"/>
  <c r="L34" i="3"/>
  <c r="S34" i="3"/>
  <c r="P34" i="3"/>
  <c r="E36" i="23"/>
  <c r="I36" i="23" s="1"/>
  <c r="E36" i="22"/>
  <c r="Y6" i="13"/>
  <c r="N6" i="13"/>
  <c r="W6" i="13"/>
  <c r="L6" i="13"/>
  <c r="S6" i="13"/>
  <c r="AA6" i="13"/>
  <c r="P6" i="13"/>
  <c r="M366" i="40"/>
  <c r="L366" i="40"/>
  <c r="F23" i="39"/>
  <c r="H61" i="19"/>
  <c r="I7" i="37"/>
  <c r="K7" i="37" s="1"/>
  <c r="J6" i="36"/>
  <c r="H214" i="40"/>
  <c r="I214" i="40"/>
  <c r="M110" i="25"/>
  <c r="M103" i="25" s="1"/>
  <c r="J9" i="37"/>
  <c r="K9" i="37" s="1"/>
  <c r="J17" i="36"/>
  <c r="J95" i="36"/>
  <c r="J22" i="37" s="1"/>
  <c r="O22" i="37" s="1"/>
  <c r="K49" i="22"/>
  <c r="J49" i="22"/>
  <c r="J107" i="40"/>
  <c r="J34" i="40"/>
  <c r="J114" i="40"/>
  <c r="M124" i="40"/>
  <c r="M17" i="40"/>
  <c r="J27" i="40"/>
  <c r="M155" i="40"/>
  <c r="N155" i="40"/>
  <c r="O334" i="40"/>
  <c r="P334" i="40"/>
  <c r="J38" i="22"/>
  <c r="J43" i="22"/>
  <c r="J29" i="23"/>
  <c r="J48" i="22"/>
  <c r="K48" i="22"/>
  <c r="J28" i="23"/>
  <c r="AD11" i="5"/>
  <c r="AF11" i="5"/>
  <c r="AE11" i="5"/>
  <c r="AC11" i="5"/>
  <c r="O18" i="5"/>
  <c r="P18" i="5" s="1"/>
  <c r="K45" i="22"/>
  <c r="J45" i="22"/>
  <c r="H62" i="36"/>
  <c r="J62" i="36" s="1"/>
  <c r="J61" i="36"/>
  <c r="J60" i="36" s="1"/>
  <c r="J18" i="37" s="1"/>
  <c r="O18" i="37" s="1"/>
  <c r="O105" i="17"/>
  <c r="M105" i="17"/>
  <c r="K105" i="17"/>
  <c r="Y33" i="13"/>
  <c r="P48" i="13"/>
  <c r="N48" i="13"/>
  <c r="L48" i="13"/>
  <c r="L45" i="13" s="1"/>
  <c r="W48" i="13"/>
  <c r="S48" i="13"/>
  <c r="Y37" i="13"/>
  <c r="E40" i="23"/>
  <c r="I40" i="23" s="1"/>
  <c r="E40" i="22"/>
  <c r="I40" i="22" s="1"/>
  <c r="Y14" i="13"/>
  <c r="N14" i="13"/>
  <c r="W14" i="13"/>
  <c r="L14" i="13"/>
  <c r="S14" i="13"/>
  <c r="AA14" i="13"/>
  <c r="P14" i="13"/>
  <c r="I53" i="25"/>
  <c r="I55" i="25"/>
  <c r="N9" i="37"/>
  <c r="M9" i="37"/>
  <c r="L9" i="37"/>
  <c r="AA7" i="10"/>
  <c r="J6" i="10"/>
  <c r="L49" i="13"/>
  <c r="W49" i="13"/>
  <c r="S49" i="13"/>
  <c r="P49" i="13"/>
  <c r="AA49" i="13"/>
  <c r="Y49" i="13"/>
  <c r="N49" i="13"/>
  <c r="N45" i="13" s="1"/>
  <c r="E38" i="23"/>
  <c r="I38" i="23" s="1"/>
  <c r="E38" i="22"/>
  <c r="I38" i="22" s="1"/>
  <c r="Y10" i="13"/>
  <c r="N10" i="13"/>
  <c r="W10" i="13"/>
  <c r="L10" i="13"/>
  <c r="S10" i="13"/>
  <c r="P10" i="13"/>
  <c r="AA10" i="13"/>
  <c r="E18" i="22"/>
  <c r="P28" i="3"/>
  <c r="E18" i="23"/>
  <c r="N28" i="3"/>
  <c r="L28" i="3"/>
  <c r="S28" i="3"/>
  <c r="I117" i="25"/>
  <c r="I109" i="25"/>
  <c r="I105" i="25"/>
  <c r="I116" i="25"/>
  <c r="I112" i="25"/>
  <c r="I108" i="25"/>
  <c r="I104" i="25"/>
  <c r="I115" i="25"/>
  <c r="I107" i="25"/>
  <c r="I106" i="25"/>
  <c r="I114" i="25"/>
  <c r="I110" i="25"/>
  <c r="T26" i="1"/>
  <c r="I17" i="37"/>
  <c r="J51" i="36"/>
  <c r="K73" i="25"/>
  <c r="K71" i="25" s="1"/>
  <c r="K44" i="3"/>
  <c r="K49" i="23"/>
  <c r="J49" i="23"/>
  <c r="N71" i="40"/>
  <c r="M71" i="40"/>
  <c r="J46" i="23"/>
  <c r="M21" i="37"/>
  <c r="O21" i="37"/>
  <c r="N21" i="37"/>
  <c r="J338" i="20"/>
  <c r="J337" i="20"/>
  <c r="J336" i="20"/>
  <c r="J309" i="20"/>
  <c r="J308" i="20"/>
  <c r="J307" i="20"/>
  <c r="J310" i="20" s="1"/>
  <c r="J311" i="20" s="1"/>
  <c r="J167" i="20"/>
  <c r="J166" i="20"/>
  <c r="J165" i="20"/>
  <c r="J36" i="23"/>
  <c r="J35" i="23" s="1"/>
  <c r="J103" i="20"/>
  <c r="J102" i="20"/>
  <c r="J104" i="20"/>
  <c r="I413" i="40"/>
  <c r="J94" i="40"/>
  <c r="L354" i="40"/>
  <c r="M354" i="40"/>
  <c r="J46" i="22"/>
  <c r="K48" i="23"/>
  <c r="J48" i="23"/>
  <c r="O6" i="17"/>
  <c r="M6" i="17"/>
  <c r="M110" i="17" s="1"/>
  <c r="K6" i="17"/>
  <c r="K110" i="17" s="1"/>
  <c r="J28" i="22"/>
  <c r="AD21" i="5"/>
  <c r="AC21" i="5"/>
  <c r="AF21" i="5"/>
  <c r="AE21" i="5"/>
  <c r="J23" i="10"/>
  <c r="AA24" i="10"/>
  <c r="P78" i="25"/>
  <c r="Q77" i="25"/>
  <c r="I49" i="22"/>
  <c r="K37" i="22"/>
  <c r="J37" i="22"/>
  <c r="L42" i="3"/>
  <c r="W42" i="3"/>
  <c r="S42" i="3"/>
  <c r="N42" i="3"/>
  <c r="E46" i="23"/>
  <c r="I46" i="23" s="1"/>
  <c r="E46" i="22"/>
  <c r="I46" i="22" s="1"/>
  <c r="Y27" i="13"/>
  <c r="N27" i="13"/>
  <c r="W27" i="13"/>
  <c r="L27" i="13"/>
  <c r="S27" i="13"/>
  <c r="AA27" i="13"/>
  <c r="P27" i="13"/>
  <c r="E45" i="23"/>
  <c r="I45" i="23" s="1"/>
  <c r="E45" i="22"/>
  <c r="I45" i="22" s="1"/>
  <c r="Y25" i="13"/>
  <c r="N25" i="13"/>
  <c r="W25" i="13"/>
  <c r="L25" i="13"/>
  <c r="S25" i="13"/>
  <c r="AA25" i="13"/>
  <c r="P25" i="13"/>
  <c r="E43" i="23"/>
  <c r="E43" i="22"/>
  <c r="I43" i="22" s="1"/>
  <c r="Y21" i="13"/>
  <c r="N21" i="13"/>
  <c r="W21" i="13"/>
  <c r="L21" i="13"/>
  <c r="S21" i="13"/>
  <c r="AA21" i="13"/>
  <c r="P21" i="13"/>
  <c r="E19" i="23"/>
  <c r="E19" i="22"/>
  <c r="S30" i="3"/>
  <c r="P30" i="3"/>
  <c r="N30" i="3"/>
  <c r="L30" i="3"/>
  <c r="N22" i="37"/>
  <c r="M22" i="37"/>
  <c r="U26" i="1"/>
  <c r="T69" i="48" l="1"/>
  <c r="T71" i="48"/>
  <c r="S106" i="48"/>
  <c r="S95" i="48"/>
  <c r="R191" i="48"/>
  <c r="S111" i="48"/>
  <c r="S93" i="48"/>
  <c r="S89" i="48"/>
  <c r="S121" i="48"/>
  <c r="S110" i="48"/>
  <c r="S122" i="48"/>
  <c r="S137" i="48"/>
  <c r="R190" i="48"/>
  <c r="S138" i="48"/>
  <c r="F78" i="48"/>
  <c r="T143" i="48"/>
  <c r="S105" i="48"/>
  <c r="S126" i="48"/>
  <c r="S116" i="48"/>
  <c r="R164" i="48"/>
  <c r="S113" i="48"/>
  <c r="S133" i="48"/>
  <c r="S129" i="48"/>
  <c r="J8" i="48"/>
  <c r="I10" i="48"/>
  <c r="K10" i="48" s="1"/>
  <c r="T60" i="48"/>
  <c r="F82" i="48"/>
  <c r="T62" i="48"/>
  <c r="S101" i="48"/>
  <c r="S119" i="48"/>
  <c r="S94" i="48"/>
  <c r="S91" i="48"/>
  <c r="S97" i="48"/>
  <c r="R152" i="48"/>
  <c r="S107" i="48"/>
  <c r="S130" i="48"/>
  <c r="R165" i="48"/>
  <c r="S125" i="48"/>
  <c r="S134" i="48"/>
  <c r="R156" i="48"/>
  <c r="I12" i="48"/>
  <c r="T58" i="48"/>
  <c r="T144" i="48"/>
  <c r="T147" i="48"/>
  <c r="T146" i="48"/>
  <c r="R153" i="48"/>
  <c r="S112" i="48"/>
  <c r="S100" i="48"/>
  <c r="S102" i="48"/>
  <c r="S98" i="48"/>
  <c r="R174" i="48"/>
  <c r="S118" i="48"/>
  <c r="S124" i="48"/>
  <c r="R192" i="48"/>
  <c r="R161" i="48"/>
  <c r="S132" i="48"/>
  <c r="T145" i="48"/>
  <c r="S117" i="48"/>
  <c r="S128" i="48"/>
  <c r="S123" i="48"/>
  <c r="R172" i="48"/>
  <c r="R170" i="48"/>
  <c r="S115" i="48"/>
  <c r="S131" i="48"/>
  <c r="T61" i="48"/>
  <c r="T72" i="48"/>
  <c r="F79" i="48"/>
  <c r="S90" i="48"/>
  <c r="S96" i="48"/>
  <c r="S92" i="48"/>
  <c r="S99" i="48"/>
  <c r="R154" i="48"/>
  <c r="S108" i="48"/>
  <c r="R173" i="48"/>
  <c r="S109" i="48"/>
  <c r="R171" i="48"/>
  <c r="S135" i="48"/>
  <c r="R162" i="48"/>
  <c r="R188" i="48"/>
  <c r="T68" i="48"/>
  <c r="F81" i="48"/>
  <c r="S103" i="48"/>
  <c r="R155" i="48"/>
  <c r="S114" i="48"/>
  <c r="S120" i="48"/>
  <c r="S127" i="48"/>
  <c r="S136" i="48"/>
  <c r="R163" i="48"/>
  <c r="R189" i="48"/>
  <c r="F12" i="48"/>
  <c r="F14" i="48" s="1"/>
  <c r="G13" i="48"/>
  <c r="G12" i="48" s="1"/>
  <c r="G14" i="48" s="1"/>
  <c r="T70" i="48"/>
  <c r="T59" i="48"/>
  <c r="J15" i="20"/>
  <c r="J14" i="20"/>
  <c r="J16" i="20"/>
  <c r="N50" i="13"/>
  <c r="O283" i="40"/>
  <c r="O290" i="40"/>
  <c r="O275" i="40"/>
  <c r="O263" i="40"/>
  <c r="O251" i="40"/>
  <c r="O242" i="40"/>
  <c r="O239" i="40"/>
  <c r="N239" i="40" s="1"/>
  <c r="U239" i="40" s="1"/>
  <c r="O230" i="40"/>
  <c r="O289" i="40"/>
  <c r="O285" i="40"/>
  <c r="O277" i="40"/>
  <c r="O268" i="40"/>
  <c r="O265" i="40"/>
  <c r="O256" i="40"/>
  <c r="N256" i="40" s="1"/>
  <c r="U256" i="40" s="1"/>
  <c r="O244" i="40"/>
  <c r="O232" i="40"/>
  <c r="O281" i="40"/>
  <c r="O278" i="40"/>
  <c r="O269" i="40"/>
  <c r="O257" i="40"/>
  <c r="O245" i="40"/>
  <c r="O233" i="40"/>
  <c r="N233" i="40" s="1"/>
  <c r="U233" i="40" s="1"/>
  <c r="O287" i="40"/>
  <c r="N287" i="40" s="1"/>
  <c r="U287" i="40" s="1"/>
  <c r="O282" i="40"/>
  <c r="O271" i="40"/>
  <c r="O259" i="40"/>
  <c r="O248" i="40"/>
  <c r="O236" i="40"/>
  <c r="O291" i="40"/>
  <c r="O237" i="40"/>
  <c r="N237" i="40" s="1"/>
  <c r="U237" i="40" s="1"/>
  <c r="O235" i="40"/>
  <c r="N235" i="40" s="1"/>
  <c r="U235" i="40" s="1"/>
  <c r="O284" i="40"/>
  <c r="O272" i="40"/>
  <c r="O270" i="40"/>
  <c r="O264" i="40"/>
  <c r="O262" i="40"/>
  <c r="O255" i="40"/>
  <c r="O288" i="40"/>
  <c r="N288" i="40" s="1"/>
  <c r="U288" i="40" s="1"/>
  <c r="O249" i="40"/>
  <c r="N249" i="40" s="1"/>
  <c r="U249" i="40" s="1"/>
  <c r="O246" i="40"/>
  <c r="O238" i="40"/>
  <c r="O231" i="40"/>
  <c r="O229" i="40"/>
  <c r="O274" i="40"/>
  <c r="O261" i="40"/>
  <c r="O258" i="40"/>
  <c r="N258" i="40" s="1"/>
  <c r="U258" i="40" s="1"/>
  <c r="O276" i="40"/>
  <c r="N276" i="40" s="1"/>
  <c r="U276" i="40" s="1"/>
  <c r="O252" i="40"/>
  <c r="O250" i="40"/>
  <c r="O243" i="40"/>
  <c r="K8" i="23"/>
  <c r="I8" i="23"/>
  <c r="Q195" i="40"/>
  <c r="Q193" i="40"/>
  <c r="Q191" i="40"/>
  <c r="Q194" i="40"/>
  <c r="Q192" i="40"/>
  <c r="J14" i="22"/>
  <c r="K14" i="22"/>
  <c r="J119" i="20"/>
  <c r="E31" i="23"/>
  <c r="Y23" i="10"/>
  <c r="S23" i="10"/>
  <c r="E31" i="22"/>
  <c r="P23" i="10"/>
  <c r="N23" i="10"/>
  <c r="L23" i="10"/>
  <c r="AA23" i="10"/>
  <c r="L94" i="40"/>
  <c r="K94" i="40"/>
  <c r="K36" i="23"/>
  <c r="J312" i="20"/>
  <c r="K38" i="22"/>
  <c r="L114" i="40"/>
  <c r="K114" i="40"/>
  <c r="K115" i="40" s="1"/>
  <c r="L370" i="40"/>
  <c r="L367" i="40"/>
  <c r="L369" i="40"/>
  <c r="K369" i="40" s="1"/>
  <c r="L368" i="40"/>
  <c r="L371" i="40"/>
  <c r="W40" i="3"/>
  <c r="W45" i="3" s="1"/>
  <c r="K52" i="22"/>
  <c r="I52" i="22"/>
  <c r="K41" i="23"/>
  <c r="N291" i="40"/>
  <c r="U291" i="40" s="1"/>
  <c r="P284" i="40"/>
  <c r="P291" i="40"/>
  <c r="N289" i="40"/>
  <c r="U289" i="40" s="1"/>
  <c r="P289" i="40"/>
  <c r="P285" i="40"/>
  <c r="N284" i="40"/>
  <c r="U284" i="40" s="1"/>
  <c r="P276" i="40"/>
  <c r="N274" i="40"/>
  <c r="U274" i="40" s="1"/>
  <c r="P264" i="40"/>
  <c r="N262" i="40"/>
  <c r="U262" i="40" s="1"/>
  <c r="P255" i="40"/>
  <c r="P252" i="40"/>
  <c r="N250" i="40"/>
  <c r="U250" i="40" s="1"/>
  <c r="P243" i="40"/>
  <c r="N238" i="40"/>
  <c r="U238" i="40" s="1"/>
  <c r="P231" i="40"/>
  <c r="N229" i="40"/>
  <c r="U229" i="40" s="1"/>
  <c r="N285" i="40"/>
  <c r="U285" i="40" s="1"/>
  <c r="P281" i="40"/>
  <c r="P278" i="40"/>
  <c r="P269" i="40"/>
  <c r="N264" i="40"/>
  <c r="U264" i="40" s="1"/>
  <c r="P257" i="40"/>
  <c r="N255" i="40"/>
  <c r="U255" i="40" s="1"/>
  <c r="N252" i="40"/>
  <c r="U252" i="40" s="1"/>
  <c r="P245" i="40"/>
  <c r="N243" i="40"/>
  <c r="U243" i="40" s="1"/>
  <c r="P233" i="40"/>
  <c r="N231" i="40"/>
  <c r="U231" i="40" s="1"/>
  <c r="P290" i="40"/>
  <c r="P287" i="40"/>
  <c r="P282" i="40"/>
  <c r="N277" i="40"/>
  <c r="U277" i="40" s="1"/>
  <c r="P270" i="40"/>
  <c r="N268" i="40"/>
  <c r="U268" i="40" s="1"/>
  <c r="N265" i="40"/>
  <c r="U265" i="40" s="1"/>
  <c r="P258" i="40"/>
  <c r="P246" i="40"/>
  <c r="N244" i="40"/>
  <c r="U244" i="40" s="1"/>
  <c r="P235" i="40"/>
  <c r="N232" i="40"/>
  <c r="U232" i="40" s="1"/>
  <c r="N290" i="40"/>
  <c r="U290" i="40" s="1"/>
  <c r="N281" i="40"/>
  <c r="U281" i="40" s="1"/>
  <c r="N278" i="40"/>
  <c r="U278" i="40" s="1"/>
  <c r="P288" i="40"/>
  <c r="P283" i="40"/>
  <c r="N282" i="40"/>
  <c r="U282" i="40" s="1"/>
  <c r="P272" i="40"/>
  <c r="N270" i="40"/>
  <c r="U270" i="40" s="1"/>
  <c r="P261" i="40"/>
  <c r="P249" i="40"/>
  <c r="N246" i="40"/>
  <c r="U246" i="40" s="1"/>
  <c r="P237" i="40"/>
  <c r="P262" i="40"/>
  <c r="P239" i="40"/>
  <c r="P232" i="40"/>
  <c r="P230" i="40"/>
  <c r="P275" i="40"/>
  <c r="P268" i="40"/>
  <c r="P259" i="40"/>
  <c r="N230" i="40"/>
  <c r="U230" i="40" s="1"/>
  <c r="N275" i="40"/>
  <c r="U275" i="40" s="1"/>
  <c r="N272" i="40"/>
  <c r="U272" i="40" s="1"/>
  <c r="N259" i="40"/>
  <c r="U259" i="40" s="1"/>
  <c r="N257" i="40"/>
  <c r="U257" i="40" s="1"/>
  <c r="P251" i="40"/>
  <c r="P244" i="40"/>
  <c r="P242" i="40"/>
  <c r="P277" i="40"/>
  <c r="N251" i="40"/>
  <c r="U251" i="40" s="1"/>
  <c r="N242" i="40"/>
  <c r="U242" i="40" s="1"/>
  <c r="P238" i="40"/>
  <c r="P229" i="40"/>
  <c r="N283" i="40"/>
  <c r="U283" i="40" s="1"/>
  <c r="P274" i="40"/>
  <c r="P236" i="40"/>
  <c r="P271" i="40"/>
  <c r="P265" i="40"/>
  <c r="P263" i="40"/>
  <c r="P256" i="40"/>
  <c r="P250" i="40"/>
  <c r="N236" i="40"/>
  <c r="U236" i="40" s="1"/>
  <c r="N271" i="40"/>
  <c r="U271" i="40" s="1"/>
  <c r="N269" i="40"/>
  <c r="U269" i="40" s="1"/>
  <c r="N263" i="40"/>
  <c r="U263" i="40" s="1"/>
  <c r="N261" i="40"/>
  <c r="U261" i="40" s="1"/>
  <c r="P248" i="40"/>
  <c r="N248" i="40"/>
  <c r="U248" i="40" s="1"/>
  <c r="N245" i="40"/>
  <c r="U245" i="40" s="1"/>
  <c r="I8" i="22"/>
  <c r="K8" i="22"/>
  <c r="J297" i="20"/>
  <c r="AD24" i="5"/>
  <c r="AC24" i="5"/>
  <c r="AL24" i="5" s="1"/>
  <c r="AN24" i="5" s="1"/>
  <c r="AO24" i="5" s="1"/>
  <c r="N19" i="2" s="1"/>
  <c r="U19" i="2" s="1"/>
  <c r="V19" i="2" s="1"/>
  <c r="AF24" i="5"/>
  <c r="AE24" i="5"/>
  <c r="J48" i="20"/>
  <c r="J47" i="20"/>
  <c r="N25" i="37"/>
  <c r="E29" i="23"/>
  <c r="E29" i="22"/>
  <c r="Y15" i="10"/>
  <c r="L15" i="10"/>
  <c r="S15" i="10"/>
  <c r="P15" i="10"/>
  <c r="N15" i="10"/>
  <c r="AA15" i="10"/>
  <c r="K50" i="23"/>
  <c r="I33" i="23"/>
  <c r="K33" i="23"/>
  <c r="J93" i="20"/>
  <c r="J14" i="23"/>
  <c r="K14" i="23"/>
  <c r="K10" i="22"/>
  <c r="J10" i="22"/>
  <c r="L358" i="40"/>
  <c r="L356" i="40"/>
  <c r="K356" i="40" s="1"/>
  <c r="L355" i="40"/>
  <c r="L357" i="40"/>
  <c r="L359" i="40"/>
  <c r="O124" i="40"/>
  <c r="N124" i="40"/>
  <c r="S40" i="3"/>
  <c r="S45" i="3" s="1"/>
  <c r="E30" i="23"/>
  <c r="P21" i="10"/>
  <c r="AA21" i="10"/>
  <c r="N21" i="10"/>
  <c r="Y21" i="10"/>
  <c r="L21" i="10"/>
  <c r="E30" i="22"/>
  <c r="S21" i="10"/>
  <c r="AE22" i="5"/>
  <c r="AD22" i="5"/>
  <c r="AC22" i="5"/>
  <c r="AF22" i="5"/>
  <c r="K33" i="22"/>
  <c r="I33" i="22"/>
  <c r="K9" i="23"/>
  <c r="I9" i="23"/>
  <c r="O110" i="17"/>
  <c r="J413" i="40"/>
  <c r="K413" i="40"/>
  <c r="J168" i="20"/>
  <c r="N335" i="40"/>
  <c r="N336" i="40"/>
  <c r="P339" i="40"/>
  <c r="P337" i="40"/>
  <c r="P335" i="40"/>
  <c r="P336" i="40"/>
  <c r="P338" i="40"/>
  <c r="K34" i="40"/>
  <c r="K35" i="40" s="1"/>
  <c r="L34" i="40"/>
  <c r="K370" i="40"/>
  <c r="K368" i="40"/>
  <c r="K371" i="40"/>
  <c r="K367" i="40"/>
  <c r="M370" i="40"/>
  <c r="M368" i="40"/>
  <c r="M369" i="40"/>
  <c r="M371" i="40"/>
  <c r="M367" i="40"/>
  <c r="I36" i="22"/>
  <c r="I35" i="22" s="1"/>
  <c r="K36" i="22"/>
  <c r="K52" i="23"/>
  <c r="I52" i="23"/>
  <c r="K38" i="23"/>
  <c r="I11" i="22"/>
  <c r="J154" i="20"/>
  <c r="J155" i="20" s="1"/>
  <c r="K40" i="23"/>
  <c r="K41" i="22"/>
  <c r="K44" i="22"/>
  <c r="AC14" i="5"/>
  <c r="AL14" i="5" s="1"/>
  <c r="AN14" i="5" s="1"/>
  <c r="AO14" i="5" s="1"/>
  <c r="N12" i="2" s="1"/>
  <c r="U12" i="2" s="1"/>
  <c r="V12" i="2" s="1"/>
  <c r="AF14" i="5"/>
  <c r="AE14" i="5"/>
  <c r="AD14" i="5"/>
  <c r="K13" i="37"/>
  <c r="O13" i="37"/>
  <c r="P13" i="37" s="1"/>
  <c r="O16" i="37"/>
  <c r="P16" i="37" s="1"/>
  <c r="K16" i="37"/>
  <c r="K10" i="23"/>
  <c r="J10" i="23"/>
  <c r="L158" i="40"/>
  <c r="N82" i="40"/>
  <c r="N80" i="40"/>
  <c r="N77" i="40"/>
  <c r="N75" i="40"/>
  <c r="N73" i="40"/>
  <c r="N166" i="40"/>
  <c r="N164" i="40"/>
  <c r="N161" i="40"/>
  <c r="N159" i="40"/>
  <c r="N157" i="40"/>
  <c r="L164" i="40"/>
  <c r="N83" i="40"/>
  <c r="N81" i="40"/>
  <c r="N79" i="40"/>
  <c r="N76" i="40"/>
  <c r="N74" i="40"/>
  <c r="N160" i="40"/>
  <c r="N165" i="40"/>
  <c r="N158" i="40"/>
  <c r="L74" i="40"/>
  <c r="N163" i="40"/>
  <c r="N167" i="40"/>
  <c r="I43" i="23"/>
  <c r="K43" i="23"/>
  <c r="O44" i="3"/>
  <c r="P44" i="3" s="1"/>
  <c r="L44" i="3"/>
  <c r="L40" i="3" s="1"/>
  <c r="L45" i="3" s="1"/>
  <c r="O337" i="40"/>
  <c r="N337" i="40" s="1"/>
  <c r="C33" i="19" s="1"/>
  <c r="O339" i="40"/>
  <c r="N339" i="40" s="1"/>
  <c r="O336" i="40"/>
  <c r="O335" i="40"/>
  <c r="O338" i="40"/>
  <c r="N338" i="40" s="1"/>
  <c r="P50" i="13"/>
  <c r="E24" i="23"/>
  <c r="K24" i="23" s="1"/>
  <c r="E24" i="22"/>
  <c r="K10" i="37"/>
  <c r="O10" i="37"/>
  <c r="P10" i="37" s="1"/>
  <c r="P207" i="40"/>
  <c r="P204" i="40"/>
  <c r="P206" i="40"/>
  <c r="P203" i="40"/>
  <c r="O203" i="40" s="1"/>
  <c r="P205" i="40"/>
  <c r="P120" i="25"/>
  <c r="Q120" i="25" s="1"/>
  <c r="H102" i="36"/>
  <c r="J102" i="36" s="1"/>
  <c r="H17" i="23"/>
  <c r="H17" i="22"/>
  <c r="H269" i="20"/>
  <c r="J269" i="20" s="1"/>
  <c r="X26" i="3"/>
  <c r="AF6" i="5"/>
  <c r="AE6" i="5"/>
  <c r="AD6" i="5"/>
  <c r="AC6" i="5"/>
  <c r="AC17" i="5"/>
  <c r="AF17" i="5"/>
  <c r="AE17" i="5"/>
  <c r="AD17" i="5"/>
  <c r="E28" i="23"/>
  <c r="E28" i="22"/>
  <c r="Y12" i="10"/>
  <c r="L12" i="10"/>
  <c r="S12" i="10"/>
  <c r="P12" i="10"/>
  <c r="AA12" i="10"/>
  <c r="N12" i="10"/>
  <c r="K11" i="22"/>
  <c r="J11" i="22"/>
  <c r="AL21" i="5"/>
  <c r="AN21" i="5" s="1"/>
  <c r="AO21" i="5" s="1"/>
  <c r="N17" i="2" s="1"/>
  <c r="U17" i="2" s="1"/>
  <c r="V17" i="2" s="1"/>
  <c r="O9" i="37"/>
  <c r="P9" i="37" s="1"/>
  <c r="AL11" i="5"/>
  <c r="H218" i="40"/>
  <c r="H216" i="40"/>
  <c r="G216" i="40" s="1"/>
  <c r="H215" i="40"/>
  <c r="H217" i="40"/>
  <c r="G217" i="40" s="1"/>
  <c r="C22" i="19" s="1"/>
  <c r="H219" i="40"/>
  <c r="G219" i="40" s="1"/>
  <c r="J30" i="20"/>
  <c r="J29" i="20"/>
  <c r="J32" i="20" s="1"/>
  <c r="J34" i="20" s="1"/>
  <c r="J33" i="20"/>
  <c r="J31" i="20"/>
  <c r="O303" i="40"/>
  <c r="Q300" i="40"/>
  <c r="Q302" i="40"/>
  <c r="Q299" i="40"/>
  <c r="Q301" i="40"/>
  <c r="Q303" i="40"/>
  <c r="O299" i="40"/>
  <c r="O301" i="40"/>
  <c r="C23" i="19" s="1"/>
  <c r="O206" i="40"/>
  <c r="O204" i="40"/>
  <c r="Q206" i="40"/>
  <c r="Q203" i="40"/>
  <c r="Q205" i="40"/>
  <c r="Q207" i="40"/>
  <c r="O205" i="40"/>
  <c r="C21" i="19" s="1"/>
  <c r="O207" i="40"/>
  <c r="Q204" i="40"/>
  <c r="K44" i="23"/>
  <c r="P314" i="40"/>
  <c r="P311" i="40"/>
  <c r="O311" i="40" s="1"/>
  <c r="P313" i="40"/>
  <c r="P315" i="40"/>
  <c r="P312" i="40"/>
  <c r="O312" i="40" s="1"/>
  <c r="AF23" i="5"/>
  <c r="AE23" i="5"/>
  <c r="AD23" i="5"/>
  <c r="AC23" i="5"/>
  <c r="K40" i="22"/>
  <c r="K39" i="23"/>
  <c r="O394" i="40"/>
  <c r="O391" i="40"/>
  <c r="O393" i="40"/>
  <c r="O392" i="40"/>
  <c r="N392" i="40" s="1"/>
  <c r="O395" i="40"/>
  <c r="O327" i="40"/>
  <c r="O325" i="40"/>
  <c r="N325" i="40" s="1"/>
  <c r="C31" i="19" s="1"/>
  <c r="O323" i="40"/>
  <c r="O324" i="40"/>
  <c r="O326" i="40"/>
  <c r="AL20" i="5"/>
  <c r="AN20" i="5" s="1"/>
  <c r="AO20" i="5" s="1"/>
  <c r="N16" i="2" s="1"/>
  <c r="U16" i="2" s="1"/>
  <c r="V16" i="2" s="1"/>
  <c r="G14" i="37"/>
  <c r="J34" i="36"/>
  <c r="K11" i="23"/>
  <c r="J11" i="23"/>
  <c r="I219" i="40"/>
  <c r="I217" i="40"/>
  <c r="I215" i="40"/>
  <c r="I218" i="40"/>
  <c r="G218" i="40" s="1"/>
  <c r="G215" i="40"/>
  <c r="I216" i="40"/>
  <c r="I35" i="23"/>
  <c r="J339" i="20"/>
  <c r="K46" i="23"/>
  <c r="S50" i="13"/>
  <c r="N40" i="3"/>
  <c r="N45" i="3" s="1"/>
  <c r="P302" i="40"/>
  <c r="O302" i="40" s="1"/>
  <c r="P300" i="40"/>
  <c r="O300" i="40" s="1"/>
  <c r="P299" i="40"/>
  <c r="P301" i="40"/>
  <c r="P303" i="40"/>
  <c r="J61" i="20"/>
  <c r="P183" i="40"/>
  <c r="O183" i="40" s="1"/>
  <c r="P181" i="40"/>
  <c r="P179" i="40"/>
  <c r="P182" i="40"/>
  <c r="P180" i="40"/>
  <c r="O180" i="40" s="1"/>
  <c r="J26" i="23"/>
  <c r="Q314" i="40"/>
  <c r="Q312" i="40"/>
  <c r="O315" i="40"/>
  <c r="O313" i="40"/>
  <c r="C24" i="19" s="1"/>
  <c r="O314" i="40"/>
  <c r="Q311" i="40"/>
  <c r="Q313" i="40"/>
  <c r="Q315" i="40"/>
  <c r="K45" i="23"/>
  <c r="AF25" i="5"/>
  <c r="AE25" i="5"/>
  <c r="AD25" i="5"/>
  <c r="AC25" i="5"/>
  <c r="AL25" i="5" s="1"/>
  <c r="I17" i="22"/>
  <c r="M29" i="37"/>
  <c r="P379" i="40"/>
  <c r="P381" i="40"/>
  <c r="N381" i="40"/>
  <c r="C45" i="19" s="1"/>
  <c r="P383" i="40"/>
  <c r="P380" i="40"/>
  <c r="N380" i="40"/>
  <c r="P382" i="40"/>
  <c r="P394" i="40"/>
  <c r="P392" i="40"/>
  <c r="P395" i="40"/>
  <c r="P393" i="40"/>
  <c r="P391" i="40"/>
  <c r="N395" i="40"/>
  <c r="N393" i="40"/>
  <c r="N391" i="40"/>
  <c r="N394" i="40"/>
  <c r="P325" i="40"/>
  <c r="N323" i="40"/>
  <c r="P327" i="40"/>
  <c r="N327" i="40"/>
  <c r="P324" i="40"/>
  <c r="P326" i="40"/>
  <c r="N324" i="40"/>
  <c r="N326" i="40"/>
  <c r="P323" i="40"/>
  <c r="J136" i="20"/>
  <c r="J135" i="20"/>
  <c r="J138" i="20" s="1"/>
  <c r="J139" i="20" s="1"/>
  <c r="J137" i="20"/>
  <c r="AL19" i="5"/>
  <c r="AN19" i="5" s="1"/>
  <c r="AO19" i="5" s="1"/>
  <c r="N15" i="2" s="1"/>
  <c r="U15" i="2" s="1"/>
  <c r="V15" i="2" s="1"/>
  <c r="O181" i="40"/>
  <c r="C12" i="19" s="1"/>
  <c r="O179" i="40"/>
  <c r="Q182" i="40"/>
  <c r="Q180" i="40"/>
  <c r="O182" i="40"/>
  <c r="Q181" i="40"/>
  <c r="Q179" i="40"/>
  <c r="Q183" i="40"/>
  <c r="X48" i="13"/>
  <c r="Q101" i="25"/>
  <c r="Q99" i="25" s="1"/>
  <c r="P12" i="37"/>
  <c r="AE15" i="5"/>
  <c r="AD15" i="5"/>
  <c r="AC15" i="5"/>
  <c r="AL15" i="5" s="1"/>
  <c r="AF15" i="5"/>
  <c r="I17" i="23"/>
  <c r="N7" i="37"/>
  <c r="N29" i="37" s="1"/>
  <c r="O382" i="40"/>
  <c r="N382" i="40" s="1"/>
  <c r="O380" i="40"/>
  <c r="O383" i="40"/>
  <c r="N383" i="40" s="1"/>
  <c r="O381" i="40"/>
  <c r="O379" i="40"/>
  <c r="N379" i="40" s="1"/>
  <c r="K47" i="22"/>
  <c r="K19" i="37"/>
  <c r="L19" i="37"/>
  <c r="P19" i="37" s="1"/>
  <c r="L24" i="37"/>
  <c r="P24" i="37" s="1"/>
  <c r="AL10" i="5"/>
  <c r="AN10" i="5" s="1"/>
  <c r="AO10" i="5" s="1"/>
  <c r="N9" i="2" s="1"/>
  <c r="U9" i="2" s="1"/>
  <c r="V9" i="2" s="1"/>
  <c r="J202" i="20"/>
  <c r="L107" i="40"/>
  <c r="K107" i="40"/>
  <c r="K108" i="40" s="1"/>
  <c r="K46" i="22"/>
  <c r="J105" i="20"/>
  <c r="L27" i="40"/>
  <c r="K27" i="40"/>
  <c r="K28" i="40" s="1"/>
  <c r="L50" i="13"/>
  <c r="J324" i="20"/>
  <c r="K27" i="37"/>
  <c r="O27" i="37"/>
  <c r="P27" i="37" s="1"/>
  <c r="M65" i="40"/>
  <c r="L65" i="40" s="1"/>
  <c r="M147" i="40"/>
  <c r="L147" i="40" s="1"/>
  <c r="M145" i="40"/>
  <c r="M142" i="40"/>
  <c r="M140" i="40"/>
  <c r="L140" i="40" s="1"/>
  <c r="C52" i="19" s="1"/>
  <c r="M138" i="40"/>
  <c r="M50" i="40"/>
  <c r="M149" i="40"/>
  <c r="M64" i="40"/>
  <c r="L64" i="40" s="1"/>
  <c r="M62" i="40"/>
  <c r="M60" i="40"/>
  <c r="M57" i="40"/>
  <c r="M55" i="40"/>
  <c r="L55" i="40" s="1"/>
  <c r="M52" i="40"/>
  <c r="L52" i="40" s="1"/>
  <c r="M49" i="40"/>
  <c r="M148" i="40"/>
  <c r="L148" i="40" s="1"/>
  <c r="M146" i="40"/>
  <c r="L146" i="40" s="1"/>
  <c r="M144" i="40"/>
  <c r="M141" i="40"/>
  <c r="M139" i="40"/>
  <c r="M48" i="40"/>
  <c r="L48" i="40" s="1"/>
  <c r="M63" i="40"/>
  <c r="L63" i="40" s="1"/>
  <c r="M58" i="40"/>
  <c r="M54" i="40"/>
  <c r="M51" i="40"/>
  <c r="L51" i="40" s="1"/>
  <c r="M61" i="40"/>
  <c r="M56" i="40"/>
  <c r="X46" i="13"/>
  <c r="Q78" i="25"/>
  <c r="Q76" i="25" s="1"/>
  <c r="K358" i="40"/>
  <c r="M355" i="40"/>
  <c r="M357" i="40"/>
  <c r="M359" i="40"/>
  <c r="K355" i="40"/>
  <c r="K357" i="40"/>
  <c r="C36" i="19" s="1"/>
  <c r="K359" i="40"/>
  <c r="M356" i="40"/>
  <c r="M358" i="40"/>
  <c r="M167" i="40"/>
  <c r="L167" i="40" s="1"/>
  <c r="M165" i="40"/>
  <c r="L165" i="40" s="1"/>
  <c r="M163" i="40"/>
  <c r="L163" i="40" s="1"/>
  <c r="M160" i="40"/>
  <c r="L160" i="40" s="1"/>
  <c r="M158" i="40"/>
  <c r="M82" i="40"/>
  <c r="L82" i="40" s="1"/>
  <c r="M80" i="40"/>
  <c r="L80" i="40" s="1"/>
  <c r="M77" i="40"/>
  <c r="L77" i="40" s="1"/>
  <c r="M75" i="40"/>
  <c r="L75" i="40" s="1"/>
  <c r="M73" i="40"/>
  <c r="L73" i="40" s="1"/>
  <c r="M166" i="40"/>
  <c r="L166" i="40" s="1"/>
  <c r="M164" i="40"/>
  <c r="M161" i="40"/>
  <c r="L161" i="40" s="1"/>
  <c r="M159" i="40"/>
  <c r="L159" i="40" s="1"/>
  <c r="C53" i="19" s="1"/>
  <c r="M157" i="40"/>
  <c r="L157" i="40" s="1"/>
  <c r="M84" i="40"/>
  <c r="M168" i="40"/>
  <c r="M83" i="40"/>
  <c r="L83" i="40" s="1"/>
  <c r="M79" i="40"/>
  <c r="L79" i="40" s="1"/>
  <c r="M74" i="40"/>
  <c r="M81" i="40"/>
  <c r="L81" i="40" s="1"/>
  <c r="M76" i="40"/>
  <c r="L76" i="40" s="1"/>
  <c r="K17" i="37"/>
  <c r="N17" i="37"/>
  <c r="P17" i="37" s="1"/>
  <c r="E27" i="22"/>
  <c r="P6" i="10"/>
  <c r="P29" i="10" s="1"/>
  <c r="AA6" i="10"/>
  <c r="N6" i="10"/>
  <c r="E27" i="23"/>
  <c r="Y6" i="10"/>
  <c r="L6" i="10"/>
  <c r="S6" i="10"/>
  <c r="K43" i="22"/>
  <c r="O17" i="40"/>
  <c r="N17" i="40"/>
  <c r="H59" i="19"/>
  <c r="H62" i="19" s="1"/>
  <c r="H63" i="19" s="1"/>
  <c r="W50" i="13"/>
  <c r="I14" i="22"/>
  <c r="N147" i="40"/>
  <c r="N145" i="40"/>
  <c r="N142" i="40"/>
  <c r="N140" i="40"/>
  <c r="N138" i="40"/>
  <c r="L61" i="40"/>
  <c r="L58" i="40"/>
  <c r="L56" i="40"/>
  <c r="L54" i="40"/>
  <c r="N50" i="40"/>
  <c r="L145" i="40"/>
  <c r="L142" i="40"/>
  <c r="L138" i="40"/>
  <c r="N64" i="40"/>
  <c r="N62" i="40"/>
  <c r="N60" i="40"/>
  <c r="N57" i="40"/>
  <c r="N55" i="40"/>
  <c r="N52" i="40"/>
  <c r="L50" i="40"/>
  <c r="L149" i="40"/>
  <c r="N49" i="40"/>
  <c r="N148" i="40"/>
  <c r="N146" i="40"/>
  <c r="N144" i="40"/>
  <c r="N141" i="40"/>
  <c r="N139" i="40"/>
  <c r="L62" i="40"/>
  <c r="L60" i="40"/>
  <c r="L57" i="40"/>
  <c r="N51" i="40"/>
  <c r="L49" i="40"/>
  <c r="L144" i="40"/>
  <c r="L141" i="40"/>
  <c r="L139" i="40"/>
  <c r="N63" i="40"/>
  <c r="N58" i="40"/>
  <c r="N54" i="40"/>
  <c r="N61" i="40"/>
  <c r="N48" i="40"/>
  <c r="N56" i="40"/>
  <c r="N26" i="37"/>
  <c r="P26" i="37" s="1"/>
  <c r="E32" i="22"/>
  <c r="E32" i="23"/>
  <c r="P25" i="10"/>
  <c r="N25" i="10"/>
  <c r="AA25" i="10"/>
  <c r="L25" i="10"/>
  <c r="Y25" i="10"/>
  <c r="S25" i="10"/>
  <c r="AL9" i="5"/>
  <c r="AN9" i="5" s="1"/>
  <c r="AO9" i="5" s="1"/>
  <c r="N8" i="2" s="1"/>
  <c r="U8" i="2" s="1"/>
  <c r="V8" i="2" s="1"/>
  <c r="AE18" i="5"/>
  <c r="AD18" i="5"/>
  <c r="AC18" i="5"/>
  <c r="AL18" i="5" s="1"/>
  <c r="AF18" i="5"/>
  <c r="AL13" i="5"/>
  <c r="AN13" i="5" s="1"/>
  <c r="AO13" i="5" s="1"/>
  <c r="N11" i="2" s="1"/>
  <c r="U11" i="2" s="1"/>
  <c r="V11" i="2" s="1"/>
  <c r="P195" i="40"/>
  <c r="O195" i="40" s="1"/>
  <c r="P193" i="40"/>
  <c r="O193" i="40" s="1"/>
  <c r="C20" i="19" s="1"/>
  <c r="P191" i="40"/>
  <c r="O191" i="40" s="1"/>
  <c r="P194" i="40"/>
  <c r="O194" i="40" s="1"/>
  <c r="P192" i="40"/>
  <c r="O192" i="40" s="1"/>
  <c r="Q47" i="25"/>
  <c r="P25" i="37"/>
  <c r="K9" i="22"/>
  <c r="I9" i="22"/>
  <c r="K11" i="37"/>
  <c r="O11" i="37"/>
  <c r="P11" i="37" s="1"/>
  <c r="J76" i="20"/>
  <c r="G15" i="37"/>
  <c r="J43" i="36"/>
  <c r="N14" i="48" l="1"/>
  <c r="M16" i="48" s="1"/>
  <c r="J12" i="48"/>
  <c r="J14" i="48" s="1"/>
  <c r="I14" i="48"/>
  <c r="K8" i="48"/>
  <c r="J157" i="20"/>
  <c r="J156" i="20"/>
  <c r="J35" i="20"/>
  <c r="J36" i="20" s="1"/>
  <c r="J140" i="20"/>
  <c r="J63" i="20"/>
  <c r="J62" i="20"/>
  <c r="P7" i="37"/>
  <c r="I28" i="23"/>
  <c r="K28" i="23"/>
  <c r="I30" i="23"/>
  <c r="K30" i="23"/>
  <c r="I29" i="22"/>
  <c r="K29" i="22"/>
  <c r="K35" i="23"/>
  <c r="H7" i="38"/>
  <c r="I7" i="38" s="1"/>
  <c r="I6" i="38" s="1"/>
  <c r="H86" i="36"/>
  <c r="H23" i="23"/>
  <c r="P104" i="25"/>
  <c r="H244" i="20"/>
  <c r="J244" i="20" s="1"/>
  <c r="H23" i="22"/>
  <c r="X38" i="3"/>
  <c r="I27" i="22"/>
  <c r="K27" i="22"/>
  <c r="S29" i="10"/>
  <c r="Z48" i="13"/>
  <c r="AA48" i="13" s="1"/>
  <c r="Y48" i="13"/>
  <c r="Z26" i="3"/>
  <c r="AA26" i="3" s="1"/>
  <c r="Y26" i="3"/>
  <c r="L35" i="40"/>
  <c r="J35" i="40"/>
  <c r="I29" i="23"/>
  <c r="K29" i="23"/>
  <c r="J299" i="20"/>
  <c r="J298" i="20"/>
  <c r="K98" i="40"/>
  <c r="J98" i="40" s="1"/>
  <c r="K96" i="40"/>
  <c r="K97" i="40"/>
  <c r="K95" i="40"/>
  <c r="J17" i="20"/>
  <c r="K31" i="22"/>
  <c r="I31" i="22"/>
  <c r="H126" i="36"/>
  <c r="J126" i="36" s="1"/>
  <c r="J125" i="36" s="1"/>
  <c r="P150" i="25"/>
  <c r="Q150" i="25" s="1"/>
  <c r="Q149" i="25" s="1"/>
  <c r="H12" i="23"/>
  <c r="H12" i="22"/>
  <c r="H346" i="20"/>
  <c r="J346" i="20" s="1"/>
  <c r="J345" i="20" s="1"/>
  <c r="J351" i="20" s="1"/>
  <c r="X16" i="3"/>
  <c r="L29" i="10"/>
  <c r="J326" i="20"/>
  <c r="J325" i="20"/>
  <c r="K14" i="37"/>
  <c r="L14" i="37"/>
  <c r="I30" i="22"/>
  <c r="K30" i="22"/>
  <c r="L98" i="40"/>
  <c r="L96" i="40"/>
  <c r="J96" i="40"/>
  <c r="L97" i="40"/>
  <c r="L95" i="40"/>
  <c r="J95" i="40"/>
  <c r="J97" i="40"/>
  <c r="K31" i="23"/>
  <c r="I31" i="23"/>
  <c r="J313" i="20"/>
  <c r="J314" i="20" s="1"/>
  <c r="J340" i="20"/>
  <c r="J341" i="20" s="1"/>
  <c r="P121" i="25"/>
  <c r="Q121" i="25" s="1"/>
  <c r="H103" i="36"/>
  <c r="J103" i="36" s="1"/>
  <c r="H20" i="23"/>
  <c r="H20" i="22"/>
  <c r="H270" i="20"/>
  <c r="J270" i="20" s="1"/>
  <c r="J268" i="20" s="1"/>
  <c r="J275" i="20" s="1"/>
  <c r="X32" i="3"/>
  <c r="AL23" i="5"/>
  <c r="K17" i="22"/>
  <c r="J17" i="22"/>
  <c r="J78" i="20"/>
  <c r="J77" i="20"/>
  <c r="H90" i="36"/>
  <c r="J90" i="36" s="1"/>
  <c r="P108" i="25"/>
  <c r="Q108" i="25" s="1"/>
  <c r="H248" i="20"/>
  <c r="J248" i="20" s="1"/>
  <c r="H16" i="22"/>
  <c r="H16" i="23"/>
  <c r="X24" i="3"/>
  <c r="H70" i="36"/>
  <c r="P88" i="25"/>
  <c r="H15" i="23"/>
  <c r="H209" i="20"/>
  <c r="J209" i="20" s="1"/>
  <c r="H15" i="22"/>
  <c r="X22" i="3"/>
  <c r="K32" i="22"/>
  <c r="I32" i="22"/>
  <c r="I27" i="23"/>
  <c r="K27" i="23"/>
  <c r="K26" i="23" s="1"/>
  <c r="Z46" i="13"/>
  <c r="AA46" i="13" s="1"/>
  <c r="AA45" i="13" s="1"/>
  <c r="AA50" i="13" s="1"/>
  <c r="Y46" i="13"/>
  <c r="Y45" i="13" s="1"/>
  <c r="Y50" i="13" s="1"/>
  <c r="F12" i="18" s="1"/>
  <c r="F13" i="18" s="1"/>
  <c r="F11" i="18" s="1"/>
  <c r="H10" i="38"/>
  <c r="I10" i="38" s="1"/>
  <c r="H89" i="36"/>
  <c r="J89" i="36" s="1"/>
  <c r="P107" i="25"/>
  <c r="Q107" i="25" s="1"/>
  <c r="H19" i="23"/>
  <c r="H19" i="22"/>
  <c r="H247" i="20"/>
  <c r="J247" i="20" s="1"/>
  <c r="X30" i="3"/>
  <c r="AL17" i="5"/>
  <c r="AN17" i="5" s="1"/>
  <c r="AO17" i="5" s="1"/>
  <c r="N14" i="2" s="1"/>
  <c r="U14" i="2" s="1"/>
  <c r="V14" i="2" s="1"/>
  <c r="J17" i="23"/>
  <c r="K17" i="23"/>
  <c r="J49" i="20"/>
  <c r="J50" i="20"/>
  <c r="L115" i="40"/>
  <c r="J115" i="40"/>
  <c r="J121" i="20"/>
  <c r="J120" i="20"/>
  <c r="J122" i="20"/>
  <c r="J416" i="40"/>
  <c r="J414" i="40"/>
  <c r="I414" i="40" s="1"/>
  <c r="J417" i="40"/>
  <c r="J415" i="40"/>
  <c r="I415" i="40" s="1"/>
  <c r="J419" i="40"/>
  <c r="J418" i="40"/>
  <c r="I418" i="40" s="1"/>
  <c r="K32" i="23"/>
  <c r="I32" i="23"/>
  <c r="Y29" i="10"/>
  <c r="F9" i="18" s="1"/>
  <c r="F10" i="18" s="1"/>
  <c r="F8" i="18" s="1"/>
  <c r="L108" i="40"/>
  <c r="J108" i="40"/>
  <c r="O29" i="37"/>
  <c r="C61" i="19"/>
  <c r="N29" i="10"/>
  <c r="L28" i="40"/>
  <c r="J28" i="40"/>
  <c r="J203" i="20"/>
  <c r="J204" i="20" s="1"/>
  <c r="AL6" i="5"/>
  <c r="AN6" i="5" s="1"/>
  <c r="AO6" i="5" s="1"/>
  <c r="N5" i="2" s="1"/>
  <c r="U5" i="2" s="1"/>
  <c r="V5" i="2" s="1"/>
  <c r="J101" i="36"/>
  <c r="K35" i="22"/>
  <c r="J169" i="20"/>
  <c r="J170" i="20" s="1"/>
  <c r="O18" i="40"/>
  <c r="M125" i="40"/>
  <c r="M18" i="40"/>
  <c r="O125" i="40"/>
  <c r="I28" i="22"/>
  <c r="K28" i="22"/>
  <c r="K15" i="37"/>
  <c r="L15" i="37"/>
  <c r="P15" i="37" s="1"/>
  <c r="N125" i="40"/>
  <c r="N18" i="40"/>
  <c r="AA29" i="10"/>
  <c r="J106" i="20"/>
  <c r="J107" i="20" s="1"/>
  <c r="H8" i="38"/>
  <c r="I8" i="38" s="1"/>
  <c r="H87" i="36"/>
  <c r="J87" i="36" s="1"/>
  <c r="P105" i="25"/>
  <c r="Q105" i="25" s="1"/>
  <c r="H13" i="23"/>
  <c r="H13" i="22"/>
  <c r="H245" i="20"/>
  <c r="J245" i="20" s="1"/>
  <c r="X18" i="3"/>
  <c r="P95" i="25"/>
  <c r="Q95" i="25" s="1"/>
  <c r="H77" i="36"/>
  <c r="J77" i="36" s="1"/>
  <c r="H21" i="23"/>
  <c r="H21" i="22"/>
  <c r="H226" i="20"/>
  <c r="J226" i="20" s="1"/>
  <c r="X34" i="3"/>
  <c r="Q119" i="25"/>
  <c r="K418" i="40"/>
  <c r="K419" i="40"/>
  <c r="I416" i="40"/>
  <c r="C58" i="19" s="1"/>
  <c r="I419" i="40"/>
  <c r="K415" i="40"/>
  <c r="K417" i="40"/>
  <c r="I417" i="40"/>
  <c r="K414" i="40"/>
  <c r="K416" i="40"/>
  <c r="AL22" i="5"/>
  <c r="AN22" i="5" s="1"/>
  <c r="AO22" i="5" s="1"/>
  <c r="N18" i="2" s="1"/>
  <c r="U18" i="2" s="1"/>
  <c r="V18" i="2" s="1"/>
  <c r="J94" i="20"/>
  <c r="J95" i="20" s="1"/>
  <c r="K12" i="48" l="1"/>
  <c r="K14" i="48" s="1"/>
  <c r="K24" i="41"/>
  <c r="J24" i="42"/>
  <c r="I23" i="43"/>
  <c r="G12" i="21"/>
  <c r="H12" i="21" s="1"/>
  <c r="J343" i="20"/>
  <c r="J342" i="20"/>
  <c r="J108" i="20"/>
  <c r="J109" i="20" s="1"/>
  <c r="J206" i="20"/>
  <c r="J205" i="20"/>
  <c r="J37" i="42"/>
  <c r="K37" i="41"/>
  <c r="I36" i="43"/>
  <c r="G27" i="21"/>
  <c r="H27" i="21" s="1"/>
  <c r="J171" i="20"/>
  <c r="J172" i="20" s="1"/>
  <c r="J278" i="20"/>
  <c r="J277" i="20"/>
  <c r="J276" i="20"/>
  <c r="J279" i="20" s="1"/>
  <c r="J281" i="20" s="1"/>
  <c r="J280" i="20"/>
  <c r="K20" i="41"/>
  <c r="I19" i="43"/>
  <c r="J20" i="42"/>
  <c r="G8" i="21"/>
  <c r="H8" i="21" s="1"/>
  <c r="J327" i="20"/>
  <c r="J328" i="20" s="1"/>
  <c r="I26" i="23"/>
  <c r="J80" i="20"/>
  <c r="J79" i="20"/>
  <c r="J18" i="20"/>
  <c r="J19" i="20" s="1"/>
  <c r="J21" i="42"/>
  <c r="I20" i="43"/>
  <c r="K21" i="41"/>
  <c r="G9" i="21"/>
  <c r="H9" i="21" s="1"/>
  <c r="K19" i="23"/>
  <c r="J19" i="23"/>
  <c r="I19" i="23"/>
  <c r="Z24" i="3"/>
  <c r="AA24" i="3" s="1"/>
  <c r="Y24" i="3"/>
  <c r="J354" i="20"/>
  <c r="J353" i="20"/>
  <c r="J352" i="20"/>
  <c r="J355" i="20" s="1"/>
  <c r="J356" i="20"/>
  <c r="J357" i="20" s="1"/>
  <c r="I26" i="22"/>
  <c r="Z30" i="3"/>
  <c r="AA30" i="3" s="1"/>
  <c r="Y30" i="3"/>
  <c r="K19" i="22"/>
  <c r="J19" i="22"/>
  <c r="I19" i="22"/>
  <c r="H71" i="36"/>
  <c r="J71" i="36" s="1"/>
  <c r="J70" i="36"/>
  <c r="J69" i="36" s="1"/>
  <c r="K26" i="22"/>
  <c r="K13" i="22"/>
  <c r="J13" i="22"/>
  <c r="I13" i="22"/>
  <c r="K13" i="23"/>
  <c r="J13" i="23"/>
  <c r="I13" i="23"/>
  <c r="K16" i="23"/>
  <c r="J16" i="23"/>
  <c r="I16" i="23"/>
  <c r="K12" i="22"/>
  <c r="J12" i="22"/>
  <c r="I12" i="22"/>
  <c r="Z38" i="3"/>
  <c r="AA38" i="3" s="1"/>
  <c r="Y38" i="3"/>
  <c r="J65" i="20"/>
  <c r="J64" i="20"/>
  <c r="G23" i="37"/>
  <c r="J100" i="36"/>
  <c r="Z16" i="3"/>
  <c r="AA16" i="3" s="1"/>
  <c r="Y16" i="3"/>
  <c r="Z34" i="3"/>
  <c r="AA34" i="3" s="1"/>
  <c r="Y34" i="3"/>
  <c r="H76" i="36"/>
  <c r="P94" i="25"/>
  <c r="H22" i="22"/>
  <c r="H22" i="23"/>
  <c r="H225" i="20"/>
  <c r="J225" i="20" s="1"/>
  <c r="X36" i="3"/>
  <c r="K21" i="22"/>
  <c r="J21" i="22"/>
  <c r="I21" i="22"/>
  <c r="Z22" i="3"/>
  <c r="AA22" i="3" s="1"/>
  <c r="Y22" i="3"/>
  <c r="K16" i="22"/>
  <c r="J16" i="22"/>
  <c r="I16" i="22"/>
  <c r="P14" i="37"/>
  <c r="K12" i="23"/>
  <c r="J12" i="23"/>
  <c r="I12" i="23"/>
  <c r="K23" i="22"/>
  <c r="J23" i="22"/>
  <c r="I23" i="22"/>
  <c r="J141" i="20"/>
  <c r="J142" i="20"/>
  <c r="K20" i="22"/>
  <c r="J20" i="22"/>
  <c r="I20" i="22"/>
  <c r="J21" i="23"/>
  <c r="K21" i="23"/>
  <c r="I21" i="23"/>
  <c r="J123" i="20"/>
  <c r="K15" i="22"/>
  <c r="J15" i="22"/>
  <c r="I15" i="22"/>
  <c r="Z32" i="3"/>
  <c r="AA32" i="3" s="1"/>
  <c r="Y32" i="3"/>
  <c r="H250" i="20"/>
  <c r="J250" i="20" s="1"/>
  <c r="J243" i="20" s="1"/>
  <c r="J258" i="20" s="1"/>
  <c r="K15" i="23"/>
  <c r="J15" i="23"/>
  <c r="I15" i="23"/>
  <c r="H91" i="36"/>
  <c r="J91" i="36" s="1"/>
  <c r="P109" i="25"/>
  <c r="Q109" i="25" s="1"/>
  <c r="H249" i="20"/>
  <c r="J249" i="20" s="1"/>
  <c r="H18" i="23"/>
  <c r="H18" i="22"/>
  <c r="X28" i="3"/>
  <c r="H210" i="20"/>
  <c r="J210" i="20" s="1"/>
  <c r="J208" i="20" s="1"/>
  <c r="J214" i="20" s="1"/>
  <c r="G28" i="37"/>
  <c r="J124" i="36"/>
  <c r="Q104" i="25"/>
  <c r="K36" i="41"/>
  <c r="I35" i="43"/>
  <c r="J36" i="42"/>
  <c r="G25" i="21"/>
  <c r="H25" i="21" s="1"/>
  <c r="K23" i="23"/>
  <c r="J23" i="23"/>
  <c r="I23" i="23"/>
  <c r="Z18" i="3"/>
  <c r="AA18" i="3" s="1"/>
  <c r="Y18" i="3"/>
  <c r="H56" i="36"/>
  <c r="P72" i="25"/>
  <c r="H7" i="23"/>
  <c r="H175" i="20"/>
  <c r="J175" i="20" s="1"/>
  <c r="H7" i="22"/>
  <c r="X6" i="3"/>
  <c r="P89" i="25"/>
  <c r="Q88" i="25"/>
  <c r="K20" i="23"/>
  <c r="J20" i="23"/>
  <c r="I20" i="23"/>
  <c r="J86" i="36"/>
  <c r="K28" i="41"/>
  <c r="I27" i="43"/>
  <c r="J28" i="42"/>
  <c r="G16" i="21"/>
  <c r="H16" i="21" s="1"/>
  <c r="J29" i="42" l="1"/>
  <c r="K29" i="41"/>
  <c r="I28" i="43"/>
  <c r="G17" i="21"/>
  <c r="H17" i="21" s="1"/>
  <c r="J215" i="20"/>
  <c r="J218" i="20" s="1"/>
  <c r="J217" i="20"/>
  <c r="J216" i="20"/>
  <c r="J25" i="42"/>
  <c r="I24" i="43"/>
  <c r="K25" i="41"/>
  <c r="G13" i="21"/>
  <c r="H13" i="21" s="1"/>
  <c r="J260" i="20"/>
  <c r="J259" i="20"/>
  <c r="J261" i="20"/>
  <c r="J21" i="20"/>
  <c r="J20" i="20"/>
  <c r="I37" i="43"/>
  <c r="K38" i="41"/>
  <c r="J38" i="42"/>
  <c r="G28" i="21"/>
  <c r="H28" i="21" s="1"/>
  <c r="J359" i="20"/>
  <c r="J358" i="20"/>
  <c r="J283" i="20"/>
  <c r="J282" i="20"/>
  <c r="K28" i="37"/>
  <c r="L28" i="37"/>
  <c r="P28" i="37" s="1"/>
  <c r="J7" i="23"/>
  <c r="K7" i="23"/>
  <c r="I7" i="23"/>
  <c r="I6" i="23" s="1"/>
  <c r="J76" i="36"/>
  <c r="H78" i="36"/>
  <c r="J78" i="36" s="1"/>
  <c r="M19" i="43"/>
  <c r="L19" i="43"/>
  <c r="N19" i="43"/>
  <c r="K19" i="43"/>
  <c r="P96" i="25"/>
  <c r="Q94" i="25"/>
  <c r="Q72" i="25"/>
  <c r="P73" i="25"/>
  <c r="P36" i="42"/>
  <c r="O36" i="42"/>
  <c r="N36" i="42"/>
  <c r="L36" i="42"/>
  <c r="I26" i="43"/>
  <c r="K27" i="41"/>
  <c r="J27" i="42"/>
  <c r="G15" i="21"/>
  <c r="H15" i="21" s="1"/>
  <c r="I21" i="43"/>
  <c r="K22" i="41"/>
  <c r="J22" i="42"/>
  <c r="G10" i="21"/>
  <c r="H10" i="21" s="1"/>
  <c r="G20" i="37"/>
  <c r="J68" i="36"/>
  <c r="O20" i="41"/>
  <c r="Q20" i="41" s="1"/>
  <c r="R20" i="41"/>
  <c r="S20" i="41" s="1"/>
  <c r="P20" i="41"/>
  <c r="M20" i="41"/>
  <c r="K23" i="37"/>
  <c r="L23" i="37"/>
  <c r="P23" i="37" s="1"/>
  <c r="J56" i="36"/>
  <c r="J55" i="36" s="1"/>
  <c r="H57" i="36"/>
  <c r="J57" i="36" s="1"/>
  <c r="M35" i="43"/>
  <c r="L35" i="43"/>
  <c r="N35" i="43"/>
  <c r="K35" i="43"/>
  <c r="Z28" i="3"/>
  <c r="AA28" i="3" s="1"/>
  <c r="Y28" i="3"/>
  <c r="J125" i="20"/>
  <c r="J124" i="20"/>
  <c r="I22" i="43"/>
  <c r="J23" i="42"/>
  <c r="K23" i="41"/>
  <c r="G11" i="21"/>
  <c r="H11" i="21" s="1"/>
  <c r="L36" i="43"/>
  <c r="N36" i="43"/>
  <c r="M36" i="43"/>
  <c r="K36" i="43"/>
  <c r="I38" i="43"/>
  <c r="J39" i="42"/>
  <c r="K39" i="41"/>
  <c r="G29" i="21"/>
  <c r="H29" i="21" s="1"/>
  <c r="R36" i="41"/>
  <c r="O36" i="41"/>
  <c r="P36" i="41"/>
  <c r="M36" i="41"/>
  <c r="K18" i="22"/>
  <c r="J18" i="22"/>
  <c r="I18" i="22"/>
  <c r="Z36" i="3"/>
  <c r="AA36" i="3" s="1"/>
  <c r="Y36" i="3"/>
  <c r="R37" i="41"/>
  <c r="S37" i="41" s="1"/>
  <c r="O37" i="41"/>
  <c r="Q37" i="41" s="1"/>
  <c r="P37" i="41"/>
  <c r="M37" i="41"/>
  <c r="P20" i="42"/>
  <c r="O20" i="42"/>
  <c r="N20" i="42"/>
  <c r="L20" i="42"/>
  <c r="P28" i="42"/>
  <c r="O28" i="42"/>
  <c r="N28" i="42"/>
  <c r="L28" i="42"/>
  <c r="M27" i="43"/>
  <c r="L27" i="43"/>
  <c r="N27" i="43"/>
  <c r="K27" i="43"/>
  <c r="K18" i="23"/>
  <c r="J18" i="23"/>
  <c r="I18" i="23"/>
  <c r="J224" i="20"/>
  <c r="J233" i="20" s="1"/>
  <c r="H227" i="20"/>
  <c r="J227" i="20" s="1"/>
  <c r="R21" i="41"/>
  <c r="S21" i="41" s="1"/>
  <c r="O21" i="41"/>
  <c r="Q21" i="41" s="1"/>
  <c r="P21" i="41"/>
  <c r="M21" i="41"/>
  <c r="P37" i="42"/>
  <c r="O37" i="42"/>
  <c r="N37" i="42"/>
  <c r="L37" i="42"/>
  <c r="M23" i="43"/>
  <c r="L23" i="43"/>
  <c r="N23" i="43"/>
  <c r="K23" i="43"/>
  <c r="X41" i="3"/>
  <c r="Q89" i="25"/>
  <c r="Q87" i="25" s="1"/>
  <c r="R28" i="41"/>
  <c r="S28" i="41" s="1"/>
  <c r="O28" i="41"/>
  <c r="M28" i="41"/>
  <c r="P28" i="41"/>
  <c r="Z6" i="3"/>
  <c r="AA6" i="3" s="1"/>
  <c r="Y6" i="3"/>
  <c r="P110" i="25"/>
  <c r="J22" i="23"/>
  <c r="K22" i="23"/>
  <c r="I22" i="23"/>
  <c r="L20" i="43"/>
  <c r="N20" i="43"/>
  <c r="M20" i="43"/>
  <c r="K20" i="43"/>
  <c r="N24" i="42"/>
  <c r="P24" i="42"/>
  <c r="O24" i="42"/>
  <c r="L24" i="42"/>
  <c r="H176" i="20"/>
  <c r="J176" i="20" s="1"/>
  <c r="J174" i="20" s="1"/>
  <c r="J182" i="20" s="1"/>
  <c r="H92" i="36"/>
  <c r="J92" i="36" s="1"/>
  <c r="J85" i="36" s="1"/>
  <c r="K7" i="22"/>
  <c r="K6" i="22" s="1"/>
  <c r="J7" i="22"/>
  <c r="I7" i="22"/>
  <c r="I6" i="22" s="1"/>
  <c r="J22" i="22"/>
  <c r="K22" i="22"/>
  <c r="I22" i="22"/>
  <c r="P21" i="42"/>
  <c r="O21" i="42"/>
  <c r="N21" i="42"/>
  <c r="L21" i="42"/>
  <c r="I30" i="43"/>
  <c r="J31" i="42"/>
  <c r="K31" i="41"/>
  <c r="G19" i="21"/>
  <c r="H19" i="21" s="1"/>
  <c r="R24" i="41"/>
  <c r="S24" i="41" s="1"/>
  <c r="P24" i="41"/>
  <c r="O24" i="41"/>
  <c r="Q24" i="41" s="1"/>
  <c r="M24" i="41"/>
  <c r="J185" i="20" l="1"/>
  <c r="J184" i="20"/>
  <c r="J183" i="20"/>
  <c r="J186" i="20" s="1"/>
  <c r="J187" i="20" s="1"/>
  <c r="G22" i="37"/>
  <c r="J84" i="36"/>
  <c r="S36" i="41"/>
  <c r="J126" i="20"/>
  <c r="J127" i="20"/>
  <c r="Q93" i="25"/>
  <c r="P29" i="42"/>
  <c r="O29" i="42"/>
  <c r="N29" i="42"/>
  <c r="L29" i="42"/>
  <c r="R31" i="41"/>
  <c r="O31" i="41"/>
  <c r="M31" i="41"/>
  <c r="P31" i="41"/>
  <c r="Q28" i="41"/>
  <c r="J6" i="23"/>
  <c r="P38" i="42"/>
  <c r="O38" i="42"/>
  <c r="N38" i="42"/>
  <c r="L38" i="42"/>
  <c r="J219" i="20"/>
  <c r="J220" i="20" s="1"/>
  <c r="P22" i="42"/>
  <c r="O22" i="42"/>
  <c r="N22" i="42"/>
  <c r="L22" i="42"/>
  <c r="R39" i="41"/>
  <c r="O39" i="41"/>
  <c r="M39" i="41"/>
  <c r="P39" i="41"/>
  <c r="R23" i="41"/>
  <c r="O23" i="41"/>
  <c r="M23" i="41"/>
  <c r="P23" i="41"/>
  <c r="O22" i="41"/>
  <c r="Q22" i="41" s="1"/>
  <c r="R22" i="41"/>
  <c r="P22" i="41"/>
  <c r="M22" i="41"/>
  <c r="N37" i="43"/>
  <c r="L37" i="43"/>
  <c r="M37" i="43"/>
  <c r="K37" i="43"/>
  <c r="O31" i="42"/>
  <c r="N31" i="42"/>
  <c r="P31" i="42"/>
  <c r="L31" i="42"/>
  <c r="J236" i="20"/>
  <c r="J235" i="20"/>
  <c r="J234" i="20"/>
  <c r="J237" i="20" s="1"/>
  <c r="J238" i="20" s="1"/>
  <c r="O38" i="41"/>
  <c r="R38" i="41"/>
  <c r="P38" i="41"/>
  <c r="M38" i="41"/>
  <c r="N30" i="43"/>
  <c r="M30" i="43"/>
  <c r="L30" i="43"/>
  <c r="K30" i="43"/>
  <c r="X43" i="3"/>
  <c r="Q110" i="25"/>
  <c r="Q103" i="25" s="1"/>
  <c r="Z41" i="3"/>
  <c r="AA41" i="3" s="1"/>
  <c r="Y41" i="3"/>
  <c r="O39" i="42"/>
  <c r="N39" i="42"/>
  <c r="P39" i="42"/>
  <c r="L39" i="42"/>
  <c r="O23" i="42"/>
  <c r="N23" i="42"/>
  <c r="P23" i="42"/>
  <c r="L23" i="42"/>
  <c r="N21" i="43"/>
  <c r="K21" i="43"/>
  <c r="M21" i="43"/>
  <c r="L21" i="43"/>
  <c r="P25" i="41"/>
  <c r="O25" i="41"/>
  <c r="Q25" i="41" s="1"/>
  <c r="R25" i="41"/>
  <c r="S25" i="41" s="1"/>
  <c r="M25" i="41"/>
  <c r="N38" i="43"/>
  <c r="M38" i="43"/>
  <c r="L38" i="43"/>
  <c r="K38" i="43"/>
  <c r="N22" i="43"/>
  <c r="M22" i="43"/>
  <c r="L22" i="43"/>
  <c r="K22" i="43"/>
  <c r="X44" i="3"/>
  <c r="Q73" i="25"/>
  <c r="Q71" i="25" s="1"/>
  <c r="I34" i="43"/>
  <c r="K35" i="41"/>
  <c r="J35" i="42"/>
  <c r="G24" i="21"/>
  <c r="H24" i="21" s="1"/>
  <c r="I18" i="43"/>
  <c r="K19" i="41"/>
  <c r="J19" i="42"/>
  <c r="G7" i="21"/>
  <c r="H7" i="21" s="1"/>
  <c r="L24" i="43"/>
  <c r="N24" i="43"/>
  <c r="M24" i="43"/>
  <c r="K24" i="43"/>
  <c r="L28" i="43"/>
  <c r="K28" i="43"/>
  <c r="N28" i="43"/>
  <c r="M28" i="43"/>
  <c r="Q36" i="41"/>
  <c r="N27" i="42"/>
  <c r="P27" i="42"/>
  <c r="O27" i="42"/>
  <c r="L27" i="42"/>
  <c r="J75" i="36"/>
  <c r="P25" i="42"/>
  <c r="L25" i="42"/>
  <c r="N25" i="42"/>
  <c r="O25" i="42"/>
  <c r="R29" i="41"/>
  <c r="O29" i="41"/>
  <c r="M29" i="41"/>
  <c r="P29" i="41"/>
  <c r="G18" i="37"/>
  <c r="J54" i="36"/>
  <c r="R27" i="41"/>
  <c r="O27" i="41"/>
  <c r="P27" i="41"/>
  <c r="M27" i="41"/>
  <c r="K40" i="41"/>
  <c r="J40" i="42"/>
  <c r="I39" i="43"/>
  <c r="G30" i="21"/>
  <c r="H30" i="21" s="1"/>
  <c r="H26" i="21" s="1"/>
  <c r="K20" i="37"/>
  <c r="L20" i="37"/>
  <c r="P20" i="37" s="1"/>
  <c r="N26" i="43"/>
  <c r="M26" i="43"/>
  <c r="L26" i="43"/>
  <c r="K26" i="43"/>
  <c r="X42" i="3"/>
  <c r="Q96" i="25"/>
  <c r="K6" i="23"/>
  <c r="J262" i="20"/>
  <c r="J222" i="20" l="1"/>
  <c r="J221" i="20"/>
  <c r="J239" i="20"/>
  <c r="K22" i="37"/>
  <c r="L22" i="37"/>
  <c r="P22" i="37" s="1"/>
  <c r="N19" i="42"/>
  <c r="P19" i="42"/>
  <c r="O19" i="42"/>
  <c r="L19" i="42"/>
  <c r="Z44" i="3"/>
  <c r="AA44" i="3" s="1"/>
  <c r="Y44" i="3"/>
  <c r="Q23" i="41"/>
  <c r="J263" i="20"/>
  <c r="J264" i="20" s="1"/>
  <c r="S29" i="41"/>
  <c r="N18" i="43"/>
  <c r="M18" i="43"/>
  <c r="L18" i="43"/>
  <c r="K18" i="43"/>
  <c r="I25" i="43"/>
  <c r="J26" i="42"/>
  <c r="K26" i="41"/>
  <c r="G14" i="21"/>
  <c r="H14" i="21" s="1"/>
  <c r="J188" i="20"/>
  <c r="Q29" i="41"/>
  <c r="S38" i="41"/>
  <c r="Q31" i="41"/>
  <c r="G21" i="37"/>
  <c r="J74" i="36"/>
  <c r="R19" i="41"/>
  <c r="P19" i="41"/>
  <c r="O19" i="41"/>
  <c r="M19" i="41"/>
  <c r="S23" i="41"/>
  <c r="Q27" i="41"/>
  <c r="S27" i="41"/>
  <c r="N35" i="42"/>
  <c r="P35" i="42"/>
  <c r="O35" i="42"/>
  <c r="L35" i="42"/>
  <c r="Z43" i="3"/>
  <c r="AA43" i="3" s="1"/>
  <c r="Y43" i="3"/>
  <c r="Q38" i="41"/>
  <c r="S22" i="41"/>
  <c r="Q39" i="41"/>
  <c r="S31" i="41"/>
  <c r="N40" i="42"/>
  <c r="O40" i="42"/>
  <c r="P40" i="42"/>
  <c r="L40" i="42"/>
  <c r="N34" i="43"/>
  <c r="M34" i="43"/>
  <c r="L34" i="43"/>
  <c r="K34" i="43"/>
  <c r="R40" i="41"/>
  <c r="P40" i="41"/>
  <c r="O40" i="41"/>
  <c r="Q40" i="41" s="1"/>
  <c r="M40" i="41"/>
  <c r="Z42" i="3"/>
  <c r="AA42" i="3" s="1"/>
  <c r="AA40" i="3" s="1"/>
  <c r="AA45" i="3" s="1"/>
  <c r="Y42" i="3"/>
  <c r="Y40" i="3" s="1"/>
  <c r="Y45" i="3" s="1"/>
  <c r="F7" i="18" s="1"/>
  <c r="F6" i="18" s="1"/>
  <c r="F14" i="18" s="1"/>
  <c r="M39" i="43"/>
  <c r="L39" i="43"/>
  <c r="N39" i="43"/>
  <c r="K39" i="43"/>
  <c r="L18" i="37"/>
  <c r="K18" i="37"/>
  <c r="R35" i="41"/>
  <c r="S35" i="41" s="1"/>
  <c r="O35" i="41"/>
  <c r="Q35" i="41" s="1"/>
  <c r="P35" i="41"/>
  <c r="M35" i="41"/>
  <c r="S39" i="41"/>
  <c r="J266" i="20" l="1"/>
  <c r="J265" i="20"/>
  <c r="F18" i="18"/>
  <c r="F17" i="18"/>
  <c r="F16" i="18"/>
  <c r="F19" i="18" s="1"/>
  <c r="K21" i="37"/>
  <c r="L21" i="37"/>
  <c r="P21" i="37" s="1"/>
  <c r="N25" i="43"/>
  <c r="M25" i="43"/>
  <c r="L25" i="43"/>
  <c r="K25" i="43"/>
  <c r="Q19" i="41"/>
  <c r="J189" i="20"/>
  <c r="J190" i="20" s="1"/>
  <c r="S40" i="41"/>
  <c r="J240" i="20"/>
  <c r="J241" i="20" s="1"/>
  <c r="S19" i="41"/>
  <c r="O26" i="41"/>
  <c r="Q26" i="41" s="1"/>
  <c r="R26" i="41"/>
  <c r="S26" i="41" s="1"/>
  <c r="P26" i="41"/>
  <c r="M26" i="41"/>
  <c r="P18" i="37"/>
  <c r="P29" i="37" s="1"/>
  <c r="L29" i="37"/>
  <c r="O26" i="42"/>
  <c r="P26" i="42"/>
  <c r="N26" i="42"/>
  <c r="L26" i="42"/>
  <c r="K32" i="41"/>
  <c r="J32" i="42"/>
  <c r="I31" i="43"/>
  <c r="G21" i="21"/>
  <c r="H21" i="21" s="1"/>
  <c r="J33" i="42" l="1"/>
  <c r="K33" i="41"/>
  <c r="I32" i="43"/>
  <c r="G22" i="21"/>
  <c r="H22" i="21" s="1"/>
  <c r="I29" i="43"/>
  <c r="K30" i="41"/>
  <c r="J30" i="42"/>
  <c r="G18" i="21"/>
  <c r="H18" i="21" s="1"/>
  <c r="F20" i="18"/>
  <c r="F21" i="18" s="1"/>
  <c r="H20" i="21"/>
  <c r="N32" i="42"/>
  <c r="P32" i="42"/>
  <c r="O32" i="42"/>
  <c r="L32" i="42"/>
  <c r="R32" i="41"/>
  <c r="P32" i="41"/>
  <c r="O32" i="41"/>
  <c r="Q32" i="41" s="1"/>
  <c r="M32" i="41"/>
  <c r="M31" i="43"/>
  <c r="L31" i="43"/>
  <c r="N31" i="43"/>
  <c r="K31" i="43"/>
  <c r="I33" i="43"/>
  <c r="J34" i="42"/>
  <c r="K34" i="41"/>
  <c r="G23" i="21"/>
  <c r="H23" i="21" s="1"/>
  <c r="F6" i="29" l="1"/>
  <c r="F8" i="29"/>
  <c r="D11" i="27"/>
  <c r="D8" i="24"/>
  <c r="F23" i="18"/>
  <c r="F22" i="18"/>
  <c r="P30" i="42"/>
  <c r="P41" i="42" s="1"/>
  <c r="O30" i="42"/>
  <c r="N30" i="42"/>
  <c r="L30" i="42"/>
  <c r="O30" i="41"/>
  <c r="R30" i="41"/>
  <c r="P30" i="41"/>
  <c r="M30" i="41"/>
  <c r="O34" i="42"/>
  <c r="P34" i="42"/>
  <c r="N34" i="42"/>
  <c r="L34" i="42"/>
  <c r="N33" i="43"/>
  <c r="M33" i="43"/>
  <c r="L33" i="43"/>
  <c r="K33" i="43"/>
  <c r="S32" i="41"/>
  <c r="N29" i="43"/>
  <c r="N40" i="43" s="1"/>
  <c r="K29" i="43"/>
  <c r="K40" i="43" s="1"/>
  <c r="M29" i="43"/>
  <c r="L29" i="43"/>
  <c r="L40" i="43" s="1"/>
  <c r="L32" i="43"/>
  <c r="N32" i="43"/>
  <c r="M32" i="43"/>
  <c r="K32" i="43"/>
  <c r="O34" i="41"/>
  <c r="Q34" i="41" s="1"/>
  <c r="R34" i="41"/>
  <c r="S34" i="41" s="1"/>
  <c r="P34" i="41"/>
  <c r="M34" i="41"/>
  <c r="P33" i="41"/>
  <c r="O33" i="41"/>
  <c r="Q33" i="41" s="1"/>
  <c r="R33" i="41"/>
  <c r="S33" i="41" s="1"/>
  <c r="M33" i="41"/>
  <c r="H6" i="21"/>
  <c r="H31" i="21"/>
  <c r="J11" i="26" s="1"/>
  <c r="J12" i="26" s="1"/>
  <c r="P33" i="42"/>
  <c r="O33" i="42"/>
  <c r="N33" i="42"/>
  <c r="L33" i="42"/>
  <c r="O41" i="42" l="1"/>
  <c r="M46" i="41"/>
  <c r="P46" i="41"/>
  <c r="S30" i="41"/>
  <c r="S46" i="41" s="1"/>
  <c r="R46" i="41"/>
  <c r="D7" i="24"/>
  <c r="E8" i="24"/>
  <c r="E7" i="24" s="1"/>
  <c r="Q30" i="41"/>
  <c r="Q46" i="41" s="1"/>
  <c r="O46" i="41"/>
  <c r="D12" i="27"/>
  <c r="F11" i="27"/>
  <c r="E11" i="27"/>
  <c r="E12" i="27" s="1"/>
  <c r="M40" i="43"/>
  <c r="L41" i="42"/>
  <c r="H8" i="29"/>
  <c r="H7" i="29" s="1"/>
  <c r="G8" i="29"/>
  <c r="G7" i="29" s="1"/>
  <c r="F7" i="29"/>
  <c r="N41" i="42"/>
  <c r="G6" i="29"/>
  <c r="G5" i="29" s="1"/>
  <c r="G17" i="29" s="1"/>
  <c r="F5" i="29"/>
  <c r="F17" i="29" s="1"/>
  <c r="H6" i="29"/>
  <c r="H5" i="29" s="1"/>
  <c r="H17" i="29" s="1"/>
  <c r="D11" i="24" l="1"/>
  <c r="D10" i="24"/>
  <c r="G34" i="19"/>
  <c r="F8" i="24"/>
  <c r="F7" i="24" s="1"/>
  <c r="F12" i="27"/>
  <c r="H11" i="27"/>
  <c r="H12" i="27" s="1"/>
  <c r="D9" i="24" l="1"/>
  <c r="E10" i="24"/>
  <c r="E11" i="24"/>
  <c r="F11" i="24" s="1"/>
  <c r="E9" i="24" l="1"/>
  <c r="F10" i="24"/>
  <c r="F9" i="24" s="1"/>
  <c r="D14" i="24"/>
  <c r="D15" i="24"/>
  <c r="D13" i="24" l="1"/>
  <c r="D16" i="24" s="1"/>
  <c r="G35" i="19" s="1"/>
  <c r="E14" i="24"/>
  <c r="E15" i="24"/>
  <c r="F15" i="24" s="1"/>
  <c r="E13" i="24" l="1"/>
  <c r="E16" i="24" s="1"/>
  <c r="F14" i="24"/>
  <c r="F13" i="24" s="1"/>
  <c r="F16" i="24" s="1"/>
</calcChain>
</file>

<file path=xl/sharedStrings.xml><?xml version="1.0" encoding="utf-8"?>
<sst xmlns="http://schemas.openxmlformats.org/spreadsheetml/2006/main" count="6480" uniqueCount="1569">
  <si>
    <t>Thực hiện kỳ này</t>
  </si>
  <si>
    <t>Bảng số 21: Định mức chi phí lập hồ sơ mời thầu, đánh giá hồ sơ dự thầu mua sắm vật tư, thiết bị</t>
  </si>
  <si>
    <t>- Định mức dự toán xây dựng công trình phần xây dựng (sửa đổi và bổ sung) công bố kèm theo Quyết định số 1264/QĐ-BXD ngày 18/12/2017 của Bộ xây dựng.</t>
  </si>
  <si>
    <t>Cước cộng thêm</t>
  </si>
  <si>
    <t>TỔNG CHI PHÍ GIÁN TIẾP</t>
  </si>
  <si>
    <t>Số dư tạm ứng của hạng mục đề nghị thanh toán…………đồng.</t>
  </si>
  <si>
    <t>Máy theo đơn giá</t>
  </si>
  <si>
    <t>hsDBGT</t>
  </si>
  <si>
    <t>Gtdhsmt</t>
  </si>
  <si>
    <t>- Thông tư số 06/2016/TT-BXD ngày 20/03/2016 của Bộ Xây dựng về việc hướng dẫn xác định và quản lý chi phí đầu tư xây dựng.</t>
  </si>
  <si>
    <t>Thuế GTGT</t>
  </si>
  <si>
    <t>Nhựa đường</t>
  </si>
  <si>
    <t>Hệ số phụ cấp độc hại</t>
  </si>
  <si>
    <t>Chi phí khảo sát xây dựng (chưa có thuế GTGT) của giá gói thầu khảo sát xây dựng được duyệt (tỷ đồng)</t>
  </si>
  <si>
    <t>Phụ lục số 1: Phí thẩm tra thiết kế xây dựng công trình sử dụng vốn ngân sách nhà nước do cơ quan quản lý nhà nước thực hiện toàn bộ công việc thẩm tra</t>
  </si>
  <si>
    <t>AL.16201</t>
  </si>
  <si>
    <t>Định mức bốc lên</t>
  </si>
  <si>
    <t>Theo Thông tư số 210/2016/TT- BTC ngày 10 tháng 11 năm 2016 của Bộ Tài chính</t>
  </si>
  <si>
    <t>Chi phí thẩm tra báo cáo nghiên cứu tiền khả thi</t>
  </si>
  <si>
    <t>Gxd trước thuế x tỷ lệ</t>
  </si>
  <si>
    <t>Gks</t>
  </si>
  <si>
    <t>Nhân công bậc 3,0/7 - Nhóm 1</t>
  </si>
  <si>
    <t>1</t>
  </si>
  <si>
    <t>Chi phí cho Hội đồng tư vấn giải quyết kiến nghị của nhà thầu (Nghị định 63/2014/NĐ-CP)</t>
  </si>
  <si>
    <t>Tên hạng mục</t>
  </si>
  <si>
    <t>Đơn vị nhóm hàng</t>
  </si>
  <si>
    <t>http://dutoaneta.vn</t>
  </si>
  <si>
    <t>Số: ......./.......</t>
  </si>
  <si>
    <t>đoạn</t>
  </si>
  <si>
    <t>AM.2471</t>
  </si>
  <si>
    <t>BẢNG XÁC ĐỊNH GIÁ TRỊ KHỐI LƯỢNG CÔNG VIỆC HOÀN THÀNH THEO HỢP ĐỒNG ĐỀ NGHỊ THANH TOÁN</t>
  </si>
  <si>
    <t>Hạng mục: ĐƯỜNG BÊ TÔNG XI MĂNG CẤP A</t>
  </si>
  <si>
    <t>Công trình dân dụng</t>
  </si>
  <si>
    <t>Đá dăm, sỏi các loại</t>
  </si>
  <si>
    <t>- Định mức dự toán xây dựng công trình phần lắp đặt (sửa đổi và bổ sung) công bố kèm theo Quyết định số 236/QĐ-BXD ngày 04/04/2017 của Bộ xây dựng.</t>
  </si>
  <si>
    <t>10tấn/1km</t>
  </si>
  <si>
    <t>Thanh toán trực tiếp cho hộ dân:</t>
  </si>
  <si>
    <t>Cấp đặc biệt</t>
  </si>
  <si>
    <t>- Thông tư số 09/2016/TT-BTC ngày 18/01/2016 của Bộ Tài chính quy định về quyết toán dự án hoàn thành thuộc nguồn vốn nhà nước</t>
  </si>
  <si>
    <t>- Bảng giá ca máy và thiết bị thi công ban hành kèm theo quyết định số .../....../ QĐ-UBND ngày .../....../ của UBND Tỉnh ....</t>
  </si>
  <si>
    <t>TTTKXD79$</t>
  </si>
  <si>
    <t>Mã dự án đầu tư:</t>
  </si>
  <si>
    <t>CHỈ SỐ TRƯỢT GIÁ LIÊN HOÀN (NĂM SAU/NĂM TRƯỚC)</t>
  </si>
  <si>
    <t>Gqlda</t>
  </si>
  <si>
    <t>Gxd+Gtb+Gqlda+Gtv+Gk+Gdp</t>
  </si>
  <si>
    <t>Tổng tiền</t>
  </si>
  <si>
    <t>M106.0105</t>
  </si>
  <si>
    <t>Loại 2</t>
  </si>
  <si>
    <t>Đơn giá bổ sung (nếu có)</t>
  </si>
  <si>
    <t>6</t>
  </si>
  <si>
    <t>- Chuyển tiền bảo hành (bằng số)</t>
  </si>
  <si>
    <t>Chi phí một số công việc không xác định được khối lượng từ thiết kế</t>
  </si>
  <si>
    <t>Chi phí xây dựng (chưa có thuế GTGT) trong dự toán công trình hoặc dự toán gói thầu được duyệt (tỷ đồng)</t>
  </si>
  <si>
    <t>5 xe ô tô x 10m3: 50/100 = 0,5</t>
  </si>
  <si>
    <t>2.5</t>
  </si>
  <si>
    <t>Ô tô tự đổ 7T</t>
  </si>
  <si>
    <t>Ngày……. tháng….. năm….</t>
  </si>
  <si>
    <t>Gk</t>
  </si>
  <si>
    <t>(tỷ đồng)</t>
  </si>
  <si>
    <t>LangSon_2024LD_DG1842  Thông tư 12/2021/TT-BXD ngày 31/8/2021 của Bộ Xây dựng</t>
  </si>
  <si>
    <t>Đơn vị tính</t>
  </si>
  <si>
    <t>Gói thầu: ĐƯỜNG BÊ TÔNG TUYẾN ĐƯỜNG LÀNG BÊN - LÀNG QUE, XÃ HỮU LIÊN, TỈNH LẠNG SƠN</t>
  </si>
  <si>
    <t>Glcnt</t>
  </si>
  <si>
    <t>Chi phí lập hồ sơ mời quan tâm, đánh giá hồ sơ quan tâm</t>
  </si>
  <si>
    <t>f1+f2</t>
  </si>
  <si>
    <t>AM.2443</t>
  </si>
  <si>
    <t>gỗ các loại</t>
  </si>
  <si>
    <t>AM.2432</t>
  </si>
  <si>
    <t>M0702</t>
  </si>
  <si>
    <t>1.3.2</t>
  </si>
  <si>
    <t>4.3.5</t>
  </si>
  <si>
    <t>Công trình giao thông</t>
  </si>
  <si>
    <t>AM.2421</t>
  </si>
  <si>
    <t>Loại 1</t>
  </si>
  <si>
    <t>Chi phí vật tư, thiết bị (chưa có thuế GTGT) của giá gói thầu được duyệt (tỷ đồng)</t>
  </si>
  <si>
    <t>Gtdpccc</t>
  </si>
  <si>
    <t>DinhMuc_2021XD_DM12  Thông tư 12/2021/TT-BXD ngày 31/8/2021 của Bộ Xây dựng</t>
  </si>
  <si>
    <t>LÀM TRÒN</t>
  </si>
  <si>
    <t>Định mức chi phí kiểm toán độc lập</t>
  </si>
  <si>
    <t>hsTTPK</t>
  </si>
  <si>
    <t>AB.11503</t>
  </si>
  <si>
    <t>I.) VẬT LIỆU</t>
  </si>
  <si>
    <t>Tổng chi phí xây dựng</t>
  </si>
  <si>
    <t>Chênh lệch giá HT</t>
  </si>
  <si>
    <t xml:space="preserve">  + Định mức khấu hao</t>
  </si>
  <si>
    <t>II.) NHÂN CÔNG</t>
  </si>
  <si>
    <t>BỒI THƯỜNG, HỖ TRỢ TÁI ĐỊNH CƯ</t>
  </si>
  <si>
    <t>Số tài khoản của chủ đầu tư:</t>
  </si>
  <si>
    <t>đá dăm các loại</t>
  </si>
  <si>
    <t>3.2.1</t>
  </si>
  <si>
    <t xml:space="preserve">        - Tiền bảo hành công trình (trong trường hợp không bảo lãnh bảo hành công trình)</t>
  </si>
  <si>
    <t>AM.2431</t>
  </si>
  <si>
    <t>1.3.1</t>
  </si>
  <si>
    <t>BẢNG TỔNG HỢP CHI PHÍ THIẾT BỊ</t>
  </si>
  <si>
    <t>Phát sinh
so với hợp đồng ban đầu</t>
  </si>
  <si>
    <t>V01897</t>
  </si>
  <si>
    <t>M1589</t>
  </si>
  <si>
    <t>Chi phí lập dự án</t>
  </si>
  <si>
    <t>Kiểu chiết tính</t>
  </si>
  <si>
    <t>Chi phí lập hồ sơ yêu cầu, đánh giá hồ sơ đề xuất</t>
  </si>
  <si>
    <t>BẢNG ĐƠN GIÁ CHI TIẾT</t>
  </si>
  <si>
    <t>AB.55321</t>
  </si>
  <si>
    <t>Chi phí quản lý dự án (Gqlda):</t>
  </si>
  <si>
    <t>Đá mạt</t>
  </si>
  <si>
    <t>Đơn vị thực thiện</t>
  </si>
  <si>
    <t>NCKT79^</t>
  </si>
  <si>
    <t>&lt;=15</t>
  </si>
  <si>
    <t>hsVAT</t>
  </si>
  <si>
    <t>BẢNG TỔNG HỢP VẬT LIỆU</t>
  </si>
  <si>
    <t>A</t>
  </si>
  <si>
    <t>- Thông tư số 05/2016/TT-BXD ngày 10/03/2016 của Bộ Xây dựng về việc hướng dẫn xác định đơn giá nhân công trong quản lý chi phí đầu tư xây dựng.</t>
  </si>
  <si>
    <t>M1599</t>
  </si>
  <si>
    <t>Số CK</t>
  </si>
  <si>
    <t>BẢNG DỰ TOÁN HẠNG MỤC CÔNG TRÌNH</t>
  </si>
  <si>
    <t>ĐM bốc dỡ</t>
  </si>
  <si>
    <t>- Định mức dự toán công tác dịch vụ công ích công bố kèm theo Quyết định số 590, 591, 592, 593, 594/QĐ-BXD ngày 30/05/2014 của Bộ xây dựng.</t>
  </si>
  <si>
    <t>3. Đơn giá:</t>
  </si>
  <si>
    <t>TTKT79^</t>
  </si>
  <si>
    <t>Glhsmt</t>
  </si>
  <si>
    <t>Chi phí hạng Mục chung</t>
  </si>
  <si>
    <t>UBND XÃ HỮU LIÊN</t>
  </si>
  <si>
    <t xml:space="preserve">  +   Lái xe bậc 2,0/4 - Nhóm 4</t>
  </si>
  <si>
    <t>Chi phí quản lý dự án</t>
  </si>
  <si>
    <t>Hệ số lương</t>
  </si>
  <si>
    <t>NCKT79$</t>
  </si>
  <si>
    <t>NC</t>
  </si>
  <si>
    <t>Chứng chỉ KS định giá XD hạng …, số …</t>
  </si>
  <si>
    <t>Chi phí thẩm tra dự toán công trình</t>
  </si>
  <si>
    <t>Quy định mức thu, chế độ thu, nộp, quản lý và sử dụng phí thẩm định phê duyệt thiết kế phòng cháy chữa cháy</t>
  </si>
  <si>
    <t>Glnvks</t>
  </si>
  <si>
    <t>6. Giá trị đề nghị thanh toán kỳ này:</t>
  </si>
  <si>
    <t>Vật tư</t>
  </si>
  <si>
    <t>Gdgtdmt</t>
  </si>
  <si>
    <t>LangSon_2024XD_DG1842  Thông tư 12/2021/TT-BXD ngày 31/8/2021 của Bộ Xây dựng</t>
  </si>
  <si>
    <t>B1</t>
  </si>
  <si>
    <t>V07969</t>
  </si>
  <si>
    <t>VỐN ĐẦU TƯ</t>
  </si>
  <si>
    <t>TTTK210^</t>
  </si>
  <si>
    <t>V07947</t>
  </si>
  <si>
    <t>Giá cước</t>
  </si>
  <si>
    <t>GSLD79^</t>
  </si>
  <si>
    <t>Gdp2</t>
  </si>
  <si>
    <t>V01836</t>
  </si>
  <si>
    <t>TTKT79$</t>
  </si>
  <si>
    <t>m3</t>
  </si>
  <si>
    <t>0,108</t>
  </si>
  <si>
    <t>F</t>
  </si>
  <si>
    <t>Theo bảng tổng hợp vật liệu</t>
  </si>
  <si>
    <t>1 đoạn ống</t>
  </si>
  <si>
    <t>Thời gian khởi công - hoàn thành:</t>
  </si>
  <si>
    <t>Theo công bố chỉ số giá XD</t>
  </si>
  <si>
    <t>Năm 2017/2016</t>
  </si>
  <si>
    <t>Chi phí lập báo cáo nghiên cứu tiền khả thi</t>
  </si>
  <si>
    <t>Tên vữa/ vật liệu</t>
  </si>
  <si>
    <t>Hệ số P.tiện</t>
  </si>
  <si>
    <t>TTTK210$</t>
  </si>
  <si>
    <t>Ghmc</t>
  </si>
  <si>
    <t>Gỗ làm khe co dãn</t>
  </si>
  <si>
    <t>Dài</t>
  </si>
  <si>
    <t>Tỉnh TP</t>
  </si>
  <si>
    <t>G + GTGT</t>
  </si>
  <si>
    <t>Số tiền đề nghị:</t>
  </si>
  <si>
    <t>NGƯỜI LẬP</t>
  </si>
  <si>
    <t>GSLD79$</t>
  </si>
  <si>
    <t>Ô tô tự đổ 10T</t>
  </si>
  <si>
    <t>Bù NC</t>
  </si>
  <si>
    <t>Máy nén khí diezel 360m3/h</t>
  </si>
  <si>
    <t>BẢNG ĐỐI CHIẾU SỐ LIỆU THANH TOÁN VỐN ĐẦU TƯ NĂM...</t>
  </si>
  <si>
    <t xml:space="preserve">  + Định mức sửa chữa</t>
  </si>
  <si>
    <t>Gtttkcn</t>
  </si>
  <si>
    <t>M2159</t>
  </si>
  <si>
    <t>2.3.2</t>
  </si>
  <si>
    <t>TT</t>
  </si>
  <si>
    <t>5.3.5</t>
  </si>
  <si>
    <t>Đơn giá HT</t>
  </si>
  <si>
    <t>Chi phí thẩm định hồ sơ mời quan tâm, hồ sơ mời sơ tuyển được tính bằng 0,03% giá gói thầu nhưng tối thiểu là 1.000.000 đồng và tối đa là 30.000.000 đồng</t>
  </si>
  <si>
    <t>Vật liệu chính</t>
  </si>
  <si>
    <t>Phương tiện vận chuyển</t>
  </si>
  <si>
    <t>f2</t>
  </si>
  <si>
    <t>1.1</t>
  </si>
  <si>
    <t>BẢNG XÁC ĐỊNH GIÁ TRỊ KHỐI LƯỢNG CÔNG VIỆC HOÀN THÀNH</t>
  </si>
  <si>
    <t>hsRNC</t>
  </si>
  <si>
    <t>e1</t>
  </si>
  <si>
    <t>Hệ số phụ cấp khu vực máy</t>
  </si>
  <si>
    <t>THEO HỢP ĐỒNG BAN ĐẦU □       NGOÀI HỢP ĐỒNG BAN ĐẦU □</t>
  </si>
  <si>
    <t>50*0,2 = 10</t>
  </si>
  <si>
    <t xml:space="preserve">    6.1. Tạm ứng: ...</t>
  </si>
  <si>
    <t>CHI PHÍ GIÁN TIẾP</t>
  </si>
  <si>
    <t>T x 6,2%</t>
  </si>
  <si>
    <t>Độc lập - Tự do - Hạnh phúc</t>
  </si>
  <si>
    <t xml:space="preserve">0,017 </t>
  </si>
  <si>
    <t>4.2.1</t>
  </si>
  <si>
    <t>2.3.1</t>
  </si>
  <si>
    <t>V04514</t>
  </si>
  <si>
    <t>CÔNG TRÌNH: ĐƯỜNG BÊ TÔNG TUYẾN ĐƯỜNG LÀNG BÊN - LÀNG QUE, XÃ HỮU LIÊN, TỈNH LẠNG SƠN</t>
  </si>
  <si>
    <t>Máy đầm cóc</t>
  </si>
  <si>
    <t>KL theo hợp đồng/dự toán</t>
  </si>
  <si>
    <t>CÔNG TRÌNH:  ĐƯỜNG BÊ TÔNG TUYẾN ĐƯỜNG LÀNG BÊN - LÀNG QUE, XÃ HỮU LIÊN, TỈNH LẠNG SƠN</t>
  </si>
  <si>
    <t>CPKT^</t>
  </si>
  <si>
    <t>Công bố 10/CBGVLXD-SXD ngày 28/10/2025 của Sở Xây dựng tỉnh Lạng Sơn</t>
  </si>
  <si>
    <t>f1</t>
  </si>
  <si>
    <t>Cung đường</t>
  </si>
  <si>
    <t>Quy đổi</t>
  </si>
  <si>
    <t>Gtmdt1</t>
  </si>
  <si>
    <t>HỒ SƠ DỰ TOÁN</t>
  </si>
  <si>
    <t>Bảng số 4: Định mức chi phí lập báo cáo kinh tế - kỹ thuật</t>
  </si>
  <si>
    <t>Phụ lục 04</t>
  </si>
  <si>
    <t>Khối lượng</t>
  </si>
  <si>
    <t>Gtb</t>
  </si>
  <si>
    <t>Thép hình, thép tấm</t>
  </si>
  <si>
    <t>3.1</t>
  </si>
  <si>
    <t>T x 2,0%</t>
  </si>
  <si>
    <t>Năm…</t>
  </si>
  <si>
    <t>Máy</t>
  </si>
  <si>
    <t>Chi phí khác</t>
  </si>
  <si>
    <t xml:space="preserve">0,018 </t>
  </si>
  <si>
    <t>+ Thanh toán cho nhà thầu</t>
  </si>
  <si>
    <t>Nội dung</t>
  </si>
  <si>
    <t>V10166</t>
  </si>
  <si>
    <t>hsRM</t>
  </si>
  <si>
    <t>BB.11211</t>
  </si>
  <si>
    <t>(Ký, ghi rõ họ tên)</t>
  </si>
  <si>
    <t>Cấu kiện BT đúc sẵn</t>
  </si>
  <si>
    <t>Hệ số đảm bảo an toàn giao thông</t>
  </si>
  <si>
    <t>Thuế VAT:</t>
  </si>
  <si>
    <t>Gxd x 1%</t>
  </si>
  <si>
    <t>Thẩm tra, phê duyệt quyết toán (%)</t>
  </si>
  <si>
    <r>
      <t xml:space="preserve">Tổng mức đầu tư (tỷ đồng)
</t>
    </r>
    <r>
      <rPr>
        <b/>
        <i/>
        <sz val="12"/>
        <color indexed="8"/>
        <rFont val="Times New Roman"/>
        <family val="1"/>
      </rPr>
      <t>không bao gồm chi phí bồi thường giải phóng mặt bằng, hỗ trợ và tái định cư đã được phê duyệt trong dự án</t>
    </r>
  </si>
  <si>
    <t>hsKLTK</t>
  </si>
  <si>
    <t>- Chỉ tiêu sử dụng</t>
  </si>
  <si>
    <t>Số đề nghị tạm ứng, thanh toán khối lượng hoàn thành kỳ này (gồm cả thu hồi tạm ứng)</t>
  </si>
  <si>
    <t>CPKT$</t>
  </si>
  <si>
    <t>Chi phí an toàn lao động</t>
  </si>
  <si>
    <t>DinhMuc_2021SC_DM12_PCB30  Thông tư 12/2021/TT-BXD ngày 31/8/2021 của Bộ Xây dựng</t>
  </si>
  <si>
    <t>Lương ngày công</t>
  </si>
  <si>
    <t>AM.2344</t>
  </si>
  <si>
    <t xml:space="preserve">        - Chuyển vào tài khoản tạm giữ chờ quyết toán</t>
  </si>
  <si>
    <t>a2</t>
  </si>
  <si>
    <t>Đào bằng máy: 517*((0,3+0,5)*0,2/2)/100 = 0,4136</t>
  </si>
  <si>
    <t>công</t>
  </si>
  <si>
    <t>Ô tô vận tải thùng 12T</t>
  </si>
  <si>
    <t>Chi phí thiết bị (Gtb):</t>
  </si>
  <si>
    <t>HM</t>
  </si>
  <si>
    <t>Theo Thông tư số 09/2016/TT-BTC ngày 18 tháng 01 năm 2016 của Bộ Tài chính</t>
  </si>
  <si>
    <t>1. Giá trị hợp đồng:</t>
  </si>
  <si>
    <t xml:space="preserve">0,012 </t>
  </si>
  <si>
    <t>Công việc thực hiện không thông qua hợp đồng (không bao gồm kinh phí bồi thường, hỗ trợ, tái định cư, không bao gồm chi phí quản lý dự án)</t>
  </si>
  <si>
    <t>0,053</t>
  </si>
  <si>
    <t>Gdpxd2</t>
  </si>
  <si>
    <t>Thiết kế 3 bước (thiết kế kỹ thuật)</t>
  </si>
  <si>
    <t>V</t>
  </si>
  <si>
    <t>0,031</t>
  </si>
  <si>
    <t>3.6</t>
  </si>
  <si>
    <t>0,020</t>
  </si>
  <si>
    <t>AM.2354</t>
  </si>
  <si>
    <t>Búa căn khí nén 3m3/ph</t>
  </si>
  <si>
    <t>Hệ số điều chỉnh:</t>
  </si>
  <si>
    <t>AM.2343</t>
  </si>
  <si>
    <t>08A31</t>
  </si>
  <si>
    <t>Lương cơ bản</t>
  </si>
  <si>
    <t>Bẵng chữ: Không đồng chẵn./.</t>
  </si>
  <si>
    <t>1.2.2</t>
  </si>
  <si>
    <t>Chủ đầu tư:……</t>
  </si>
  <si>
    <t>Số tiền</t>
  </si>
  <si>
    <t>AM.2321</t>
  </si>
  <si>
    <t>Định mức thực tế</t>
  </si>
  <si>
    <t>Các chi phí hạng mục chung còn lại</t>
  </si>
  <si>
    <t>Máy đào 0,4m3</t>
  </si>
  <si>
    <t>Các khoản phụ cấp</t>
  </si>
  <si>
    <t>Bốc Lên</t>
  </si>
  <si>
    <t>Công việc B</t>
  </si>
  <si>
    <t>Bảng số 3: Định mức chi phí lập báo cáo nghiên cứu khả thi</t>
  </si>
  <si>
    <t>Diezel</t>
  </si>
  <si>
    <t>Thuộc kế hoạch vốn:</t>
  </si>
  <si>
    <t>Bù giá</t>
  </si>
  <si>
    <t>Tên vật liệu</t>
  </si>
  <si>
    <t>10</t>
  </si>
  <si>
    <t>Ô tô thùng 12T</t>
  </si>
  <si>
    <t>ĐM vận chuyển</t>
  </si>
  <si>
    <t>Chi phí bốc dỡ</t>
  </si>
  <si>
    <t>Cấp I</t>
  </si>
  <si>
    <t>NGUYỄN VĂN A</t>
  </si>
  <si>
    <t>Cách tính giá Máy</t>
  </si>
  <si>
    <t>Chi phí dự phòng cho yếu tố khối lượng công việc phát sinh</t>
  </si>
  <si>
    <t>Đơn giá ca máy</t>
  </si>
  <si>
    <t>Bốc xếp</t>
  </si>
  <si>
    <t>3.3.2</t>
  </si>
  <si>
    <t>Tổng cộng</t>
  </si>
  <si>
    <t xml:space="preserve"> - Đơn giá vật liệu</t>
  </si>
  <si>
    <t>----------------------------------------</t>
  </si>
  <si>
    <t>Vữa bê tông M250, XM PCB30, đá 2x4, độ sụt 2÷4cm</t>
  </si>
  <si>
    <t>[2]</t>
  </si>
  <si>
    <t>Chi phí dự phòng cho yếu tố trượt giá</t>
  </si>
  <si>
    <t>Chi phí tư vấn đầu tư xây dựng (Gtv):</t>
  </si>
  <si>
    <t>0,036</t>
  </si>
  <si>
    <t>Theo Thông tư số 75/2014/TT- BTC ngày 12 tháng 6 năm 2014 của Bộ Tài chính</t>
  </si>
  <si>
    <t>KL máy</t>
  </si>
  <si>
    <t>0,025</t>
  </si>
  <si>
    <t>Cận trên</t>
  </si>
  <si>
    <t>Tổng mức đầu tư x tỷ lệ</t>
  </si>
  <si>
    <t>0,014</t>
  </si>
  <si>
    <t>Bảng số 19: Định mức chi phí lập hồ sơ mời thầu, đánh giá hồ sơ dự thầu tư vấn</t>
  </si>
  <si>
    <t>Chi phí đánh giá hồ sơ quan tâm, hồ sơ dự sơ tuyển được tính bằng 0,05% giá gói thầu nhưng tối thiểu là 1.000.000 đồng và tối đa là 30.000.000 đồng</t>
  </si>
  <si>
    <t>0,003</t>
  </si>
  <si>
    <t>THUYẾT MINH LẬP DỰ TOÁN</t>
  </si>
  <si>
    <t>Chi phí đảm an toàn giao thông phục vụ thi công</t>
  </si>
  <si>
    <t/>
  </si>
  <si>
    <t>5.2.1</t>
  </si>
  <si>
    <t>3.3.1</t>
  </si>
  <si>
    <t>Lưỡi cắt D350mm</t>
  </si>
  <si>
    <t>Gtv11 x trước thuế x tỷ lệ</t>
  </si>
  <si>
    <t>GXDgtxd</t>
  </si>
  <si>
    <t>- Thuế giá trị gia tăng</t>
  </si>
  <si>
    <t>CHI PHÍ HẠNG MỤC CHUNG</t>
  </si>
  <si>
    <t>AB.27103</t>
  </si>
  <si>
    <t>Bảng số 2: Định mức chi phí lập báo cáo nghiên cứu tiền khả thi</t>
  </si>
  <si>
    <t>0,009</t>
  </si>
  <si>
    <t>Thi công</t>
  </si>
  <si>
    <t>Vận chuyển vật liệu bằng ô tô vận tải thùng</t>
  </si>
  <si>
    <t>Trong đó chia ra:</t>
  </si>
  <si>
    <t>Đơn giá TB</t>
  </si>
  <si>
    <t>Cách tính giá NC</t>
  </si>
  <si>
    <t>Chi phí thẩm định thiết kế (Thông tư 210/2016/TT-BTC)</t>
  </si>
  <si>
    <t>Theo bảng tổng hợp máy</t>
  </si>
  <si>
    <t>Kế toán trưởng          Thủ trưởng đơn vị</t>
  </si>
  <si>
    <t>Chi phí lập hồ sơ mời thầu, hồ sơ yêu cầu được tính bằng 0,1% giá gói thầu nhưng tối thiểu là 1.000.000 đồng và tối đa là 50.000.000 đồng;</t>
  </si>
  <si>
    <t>................., Ngày….. tháng….. năm ....…</t>
  </si>
  <si>
    <t>Chi phí xây dựng (chưa có thuế GTGT) trong tổng mức đầu tư được duyệt hoặc giá gói thầu được duyệt (tỷ đồng)</t>
  </si>
  <si>
    <t>Ô tô tưới nước 5m3</t>
  </si>
  <si>
    <t>TTQT^</t>
  </si>
  <si>
    <t>Gbcnctkt</t>
  </si>
  <si>
    <t>Chi phí di chuyển máy, thiết bị, nhân công</t>
  </si>
  <si>
    <t>Tên</t>
  </si>
  <si>
    <t>0,019</t>
  </si>
  <si>
    <t>Cự ly(km)</t>
  </si>
  <si>
    <t>Kho bạc nhà nước</t>
  </si>
  <si>
    <t>Cự ly quy đổi</t>
  </si>
  <si>
    <t>0,008</t>
  </si>
  <si>
    <t>HẠNG MỤC:</t>
  </si>
  <si>
    <t xml:space="preserve"> MẶT ĐƯỜNG</t>
  </si>
  <si>
    <t>HS địa hình</t>
  </si>
  <si>
    <t>GIAI ĐOẠN: Giai đoạn 1</t>
  </si>
  <si>
    <t>Tên nhiên liệu / máy</t>
  </si>
  <si>
    <t>gạch xây các loại</t>
  </si>
  <si>
    <t>Lắp đặt ống bê tông bằng cần cẩu, đoạn ống dài 1m - Đường kính ≤600mm</t>
  </si>
  <si>
    <t>+ Vốn ngoài nước……………………………………</t>
  </si>
  <si>
    <t>Thanh toán</t>
  </si>
  <si>
    <t>Chi phí Lập hồ sơ mời thầu, đánh giá hồ sơ dự thầu thi công xây dựng</t>
  </si>
  <si>
    <t>ống cống bê tông</t>
  </si>
  <si>
    <t>Theo bảng tổng hợp dự toán chi phí XD</t>
  </si>
  <si>
    <t>BẢNG GIÁ VẬT LIỆU</t>
  </si>
  <si>
    <t>Tổng mức đầu tư (Tỷ đồng)</t>
  </si>
  <si>
    <t>-</t>
  </si>
  <si>
    <t>2. Phí thẩm định dự toán xây dựng</t>
  </si>
  <si>
    <t>Đơn vị tính: Đồng</t>
  </si>
  <si>
    <t>- Vốn ngoài nước: là số vốn ngoài nước được kéo dài thanh toán như vốn trong nước (như vốn vay của Cơ quan phát triển Pháp AFD...)</t>
  </si>
  <si>
    <t>Máy cắt bê tông 7,5kW</t>
  </si>
  <si>
    <t>Chi phí xây dựng và thiết bị (chưa có thuế GTGT) (tỷ đồng)</t>
  </si>
  <si>
    <t>- Căn cứ vào khối lượng xác định từ hồ sơ bản vẽ thiết kế.</t>
  </si>
  <si>
    <t>2.2.2</t>
  </si>
  <si>
    <t>Bảng số 22: Định mức chi phí giám sát thi công xây dựng</t>
  </si>
  <si>
    <t>Địa hình</t>
  </si>
  <si>
    <t>Phụ lục số 1: Phí thẩm định thiết kế kỹ thuật</t>
  </si>
  <si>
    <t>xi măng bao</t>
  </si>
  <si>
    <t>Tên công tác / vật tư</t>
  </si>
  <si>
    <t>Bậc 2</t>
  </si>
  <si>
    <t>Năm 2016</t>
  </si>
  <si>
    <t>Giá cước hàng bậc 1 đã v/c trước(đ/T.km)</t>
  </si>
  <si>
    <t>Định mức(công/tấn)</t>
  </si>
  <si>
    <t>M0553</t>
  </si>
  <si>
    <t>Cấp công trình:</t>
  </si>
  <si>
    <t>Giá cước hàng bậc 1(đ/T.km)</t>
  </si>
  <si>
    <t>LXL79^</t>
  </si>
  <si>
    <t>Ngày ... tháng ... năm 2016</t>
  </si>
  <si>
    <t>H.số đổ ben hoặc bốc dỡ</t>
  </si>
  <si>
    <t>Bằng chữ: Một tỷ hai trăm ba mươi lăm triệu không trăm linh chín nghìn ba trăm năm mươi tám đồng chẵn./.</t>
  </si>
  <si>
    <t>Đào kênh mương, rãnh thoát nước, đường ống, đường cáp bằng thủ công, rộng ≤1m, sâu ≤1m - Cấp đất III</t>
  </si>
  <si>
    <t xml:space="preserve">II. Giá trị dự toán: </t>
  </si>
  <si>
    <t>THÔN LÀNG BÊN</t>
  </si>
  <si>
    <t>V11347</t>
  </si>
  <si>
    <t>Theo bảng dưới đây (khung nào không sử dụng thì gạch chéo)</t>
  </si>
  <si>
    <t>Nguồn mua</t>
  </si>
  <si>
    <t>Định mức ca máy</t>
  </si>
  <si>
    <t>Có tính</t>
  </si>
  <si>
    <t>Giá trị trước thuế</t>
  </si>
  <si>
    <t>Ô tô thùng 7T</t>
  </si>
  <si>
    <t>Cao</t>
  </si>
  <si>
    <t>Bậc 1</t>
  </si>
  <si>
    <t>Nhân công bậc 3,0/7 - Nhóm 2</t>
  </si>
  <si>
    <t>2</t>
  </si>
  <si>
    <t xml:space="preserve"> - Đơn giá nhân công</t>
  </si>
  <si>
    <t>1m3</t>
  </si>
  <si>
    <t>LXL79$</t>
  </si>
  <si>
    <t>2.1</t>
  </si>
  <si>
    <t>Tên dự án, công trình:………………………………………………………..</t>
  </si>
  <si>
    <t>Máy hàn điện 23kW</t>
  </si>
  <si>
    <t>AM.2472</t>
  </si>
  <si>
    <t>Chi phí thẩm tra, phê duyệt quyết toán (Thông tư 10/2020/TT-BTC)</t>
  </si>
  <si>
    <t>Số liệu của chủ đầu tư:</t>
  </si>
  <si>
    <t>Tổng</t>
  </si>
  <si>
    <t>Ngày . . .tháng. . . năm 2016</t>
  </si>
  <si>
    <t>AM.2461</t>
  </si>
  <si>
    <t>M1162</t>
  </si>
  <si>
    <t>Giá trị KLHT nghiệm thu trong kỳ này</t>
  </si>
  <si>
    <t>Loại đường</t>
  </si>
  <si>
    <t>Nhân công bậc 4,0/7 - Nhóm 4</t>
  </si>
  <si>
    <t>Giá trị sau thuế</t>
  </si>
  <si>
    <t>Gxd x 2,5%</t>
  </si>
  <si>
    <t>4.3.1</t>
  </si>
  <si>
    <t>Chi phí xây dựng lán trại, nhà tạm</t>
  </si>
  <si>
    <t>CHỦ ĐẦU TƯ:</t>
  </si>
  <si>
    <t>Chi phí rà phá bom mìn, vật nổ</t>
  </si>
  <si>
    <t>TTTKXD79^</t>
  </si>
  <si>
    <t>3.1.3.40</t>
  </si>
  <si>
    <t>.... , ngày .… tháng …. năm …...</t>
  </si>
  <si>
    <t>Chi phí thẩm định kết quả lựa chọn nhà thầu (Nghị định 63/2014/NĐ-CP)</t>
  </si>
  <si>
    <t>0,01</t>
  </si>
  <si>
    <t>Lũy kế đến hết kỳ này</t>
  </si>
  <si>
    <t>cái</t>
  </si>
  <si>
    <t>HM1</t>
  </si>
  <si>
    <t>Chi phí xây dựng của gói thầu</t>
  </si>
  <si>
    <t>Tổng mức đầu tư không có chi phí giải phóng mặt bằng(Gxdct-Ggpmb):</t>
  </si>
  <si>
    <t>Loại 3</t>
  </si>
  <si>
    <t>Số vốn đã thanh toán trong năm…</t>
  </si>
  <si>
    <t>M1596</t>
  </si>
  <si>
    <t>7</t>
  </si>
  <si>
    <t>Cách tính</t>
  </si>
  <si>
    <t>Ghdtvgqkn</t>
  </si>
  <si>
    <t>Khối lượng đơn vị</t>
  </si>
  <si>
    <t>ZV999</t>
  </si>
  <si>
    <t xml:space="preserve">0,021 </t>
  </si>
  <si>
    <t>Cự ly &lt;= 1km</t>
  </si>
  <si>
    <t xml:space="preserve">  + Định mức chi phí khác</t>
  </si>
  <si>
    <t>AM.2433</t>
  </si>
  <si>
    <t>1.3.3</t>
  </si>
  <si>
    <t>&lt;=5</t>
  </si>
  <si>
    <t>Căn cứ Biên bản nghiệm thu số .......... Ngày .... tháng .... năm .....</t>
  </si>
  <si>
    <t>hsBGM</t>
  </si>
  <si>
    <t>Thành tiền (đồng)</t>
  </si>
  <si>
    <t>AM.2422</t>
  </si>
  <si>
    <t>Gdpxd1 + Gdpxd2</t>
  </si>
  <si>
    <t>KLHT đề nghị thanh toán kỳ này</t>
  </si>
  <si>
    <t>Độc lập- Tự do- Hạnh phúc</t>
  </si>
  <si>
    <t>AM.2411</t>
  </si>
  <si>
    <t>V07970</t>
  </si>
  <si>
    <t>M0070</t>
  </si>
  <si>
    <t>Thẩm tra, phê duyệt (%)</t>
  </si>
  <si>
    <t>GTGT</t>
  </si>
  <si>
    <t>1. Phí thẩm tra thiết kế</t>
  </si>
  <si>
    <t>Dự án: ................</t>
  </si>
  <si>
    <t>Giá trị dự toán:</t>
  </si>
  <si>
    <t>Quy định mức thu, chế độ thu, nộp, quản lý và sử dụng phí thẩm duyệt thiết kế về phòng cháy chữa cháy</t>
  </si>
  <si>
    <t>Chênh lệch</t>
  </si>
  <si>
    <t>Dự toán được duyệt hoặc giá trị trúng thầu hoặc giá trị hợp đồng</t>
  </si>
  <si>
    <t>Tổng số</t>
  </si>
  <si>
    <t>Lái xe 3/4 Nhóm 4</t>
  </si>
  <si>
    <t>Tên dự án:</t>
  </si>
  <si>
    <t>Thiết kế 2 bước (thiết kế bản vẽ thi công)</t>
  </si>
  <si>
    <t>Căn cứ bảng xác định giá trị KLHT đề nghị thanh toán số…….ngày……..tháng……..năm……</t>
  </si>
  <si>
    <t>Chi phí thí nghiệm vật liệu của nhà thầu</t>
  </si>
  <si>
    <t>kg</t>
  </si>
  <si>
    <t>3.2.2</t>
  </si>
  <si>
    <t>Giá trị KLHT chưa thanh toán đến hết kỳ trước</t>
  </si>
  <si>
    <t>Chi phí thẩm định hồ sơ mời thầu, hồ sơ yêu cầu được tính bằng 0,05% giá gói thầu nhưng tối thiểu là 1.000.000 đồng và tối đa là 50.000.000 đồng</t>
  </si>
  <si>
    <t>LBC79^</t>
  </si>
  <si>
    <t>Cước nội bộ</t>
  </si>
  <si>
    <t>- Đơn giá xây dựng công trình phần xây dựng ban hành kèm theo quyết định số .../....../QĐ-UBND ngày .../....../ của UBND Tỉnh ....</t>
  </si>
  <si>
    <t>Ggsldtb</t>
  </si>
  <si>
    <t>Định mức &lt;=10km</t>
  </si>
  <si>
    <t>Chi phí thẩm tra báo cáo nghiên cứu khả thi</t>
  </si>
  <si>
    <t>AM.2611</t>
  </si>
  <si>
    <t>Công trình nông nghiệp và phát triển nông thôn</t>
  </si>
  <si>
    <t>- Đơn giá xây dựng công trình phần lắp đặt ban hành kèm theo quyết định số .../....../ QĐ-UBND ngày .../....../ của UBND Tỉnh ....</t>
  </si>
  <si>
    <t>cát</t>
  </si>
  <si>
    <t>Bốc xuống</t>
  </si>
  <si>
    <t>Thiết kế 1 bước</t>
  </si>
  <si>
    <t>Gbaohiem</t>
  </si>
  <si>
    <t>B</t>
  </si>
  <si>
    <t>Chi phí trước thuế</t>
  </si>
  <si>
    <t>VL</t>
  </si>
  <si>
    <t>BẢNG TÍNH CƯỚC VẬN CHUYỂN VẬT LIỆU BẰNG ĐƯỜNG SÔNG</t>
  </si>
  <si>
    <t>- Thông tư số 08/2016/TT-BTC ngày 18/01/2016 của Bộ Tài chính quy định về quản lý, thanh toán vốn đầu tư sử dụng nguồn vốn ngân sách nhà nước</t>
  </si>
  <si>
    <t>c^1</t>
  </si>
  <si>
    <t>TỔNG SỐ:</t>
  </si>
  <si>
    <t>LBC79$</t>
  </si>
  <si>
    <t>N4307</t>
  </si>
  <si>
    <t>Ván khuôn thép mặt đường bê tông</t>
  </si>
  <si>
    <t>Cấp IV</t>
  </si>
  <si>
    <t>Hướng dẫn chế độ thu, nộp và quản lý sử dụng phí thẩm định dự án đầu tư xây dựng</t>
  </si>
  <si>
    <t>517*0,55*0,2*2 = 113,74</t>
  </si>
  <si>
    <t>TTDT75^</t>
  </si>
  <si>
    <t>V06640</t>
  </si>
  <si>
    <t>Nhân công theo đơn giá</t>
  </si>
  <si>
    <t>TDDA^</t>
  </si>
  <si>
    <t>Chi phí bảo vệ môi trường cho người lao động và môi trường xung quanh</t>
  </si>
  <si>
    <t>Trực tiếp phí khác</t>
  </si>
  <si>
    <t>V07294</t>
  </si>
  <si>
    <t>Chi phí thẩm tra thiết kế kỹ thuật</t>
  </si>
  <si>
    <t>Gdghsqt</t>
  </si>
  <si>
    <t>PCCC^</t>
  </si>
  <si>
    <t>Công trình hạ tầng kỹ thuật</t>
  </si>
  <si>
    <t>5.3.1</t>
  </si>
  <si>
    <t>Tổng cước</t>
  </si>
  <si>
    <t>A1</t>
  </si>
  <si>
    <t>-------------------------</t>
  </si>
  <si>
    <t>TT.00001</t>
  </si>
  <si>
    <t xml:space="preserve"> - Vật liệu khác</t>
  </si>
  <si>
    <t>hsLTNT</t>
  </si>
  <si>
    <t>GXD(Dự toán gói thầu)</t>
  </si>
  <si>
    <t>Chi phí một số công tác không xác định được khối lượng từ thiết kế</t>
  </si>
  <si>
    <t>BẢNG TỔNG HỢP NHÂN CÔNG</t>
  </si>
  <si>
    <t>Đã v/c(km)</t>
  </si>
  <si>
    <t>SUM</t>
  </si>
  <si>
    <t>Tên máy</t>
  </si>
  <si>
    <t>N4507</t>
  </si>
  <si>
    <t>Ván khuôn, gỗ các loại</t>
  </si>
  <si>
    <t>G</t>
  </si>
  <si>
    <t>TTDT75$</t>
  </si>
  <si>
    <t>TT. Hữu Lũng</t>
  </si>
  <si>
    <t>Hệ số lương phụ</t>
  </si>
  <si>
    <t>TDDA$</t>
  </si>
  <si>
    <t>Cước cơ bản</t>
  </si>
  <si>
    <t>Bậc hàng</t>
  </si>
  <si>
    <t xml:space="preserve"> - Nhân hệ số điều chỉnh</t>
  </si>
  <si>
    <t>1. Các văn bản:</t>
  </si>
  <si>
    <t>- Đơn giá dịch vụ công ích ban hành kèm theo quyết định số .../....../ QĐ-UBND ngày .../....../ của UBND Tỉnh ....</t>
  </si>
  <si>
    <t>PCCC$</t>
  </si>
  <si>
    <t>a3/a2</t>
  </si>
  <si>
    <t>Chi phí xây dựng (chưa có thuế GTGT) (tỷ đồng)</t>
  </si>
  <si>
    <t>Bùn nước &lt;=20cm</t>
  </si>
  <si>
    <t>Mẫu số 08b
Mã hiệu: ………..
Số: ………</t>
  </si>
  <si>
    <t>Lạng Sơn</t>
  </si>
  <si>
    <t>GSTC79^</t>
  </si>
  <si>
    <t>hsRVL</t>
  </si>
  <si>
    <t>Gtkkt</t>
  </si>
  <si>
    <t>Số liệu của Kho bạc nơi giao dịch:</t>
  </si>
  <si>
    <t>(Gxd+Gtb+Gqlda+Gtv+Gk) x trước thuế x tỷ lệ</t>
  </si>
  <si>
    <t>H.số sử dụng xe tải nhỏ</t>
  </si>
  <si>
    <t>+ Số vốn ứng trước kế hoạch năm sau là số vốn được thanh toán đến 31/1 năm sau.</t>
  </si>
  <si>
    <t>M</t>
  </si>
  <si>
    <t>Chi phí lập hồ sơ mời quan tâm, hồ sơ mời sơ tuyển (Nghị định 63/2014/NĐ-CP)</t>
  </si>
  <si>
    <t>Vốn tạm ứng theo chế độ chưa thu hồi</t>
  </si>
  <si>
    <t>Theo Thông tư 16/2019/TT-BXD ngày 26/12/2019 của Bộ xây dựng</t>
  </si>
  <si>
    <t>Trong đó:   - Thu hồi tạm ứng (bằng số):………………………….</t>
  </si>
  <si>
    <t>10m</t>
  </si>
  <si>
    <t>2.3.3</t>
  </si>
  <si>
    <t>Thuế giá trị gia tăng</t>
  </si>
  <si>
    <t>Tổng số tiền đề nghị tạm ứng, thanh toán bằng số:……………………………………………..</t>
  </si>
  <si>
    <t>Số tài khoản đơn vị thụ hưởng…………………tại ……………….</t>
  </si>
  <si>
    <t>1.2</t>
  </si>
  <si>
    <t>e2</t>
  </si>
  <si>
    <t>Vốn thanh toán trong năm (1+2+3)</t>
  </si>
  <si>
    <t>Mã số</t>
  </si>
  <si>
    <t>Ghi chú : + Số vốn thanh toán trong năm là số vốn được thanh toán theo niên độ NSNN theo quy định (đến hết 31/1năm sau).</t>
  </si>
  <si>
    <t>Máy lu bánh hơi tự hành 16T</t>
  </si>
  <si>
    <t>d1</t>
  </si>
  <si>
    <t>Máy thi công</t>
  </si>
  <si>
    <t>AM.2351</t>
  </si>
  <si>
    <t>ngày 26 tháng 6 năm 2014</t>
  </si>
  <si>
    <t>GSTC79$</t>
  </si>
  <si>
    <t>Tên vật tư / công tác</t>
  </si>
  <si>
    <t>Ggtxd</t>
  </si>
  <si>
    <t>đồng</t>
  </si>
  <si>
    <t>Cước ô tô mới</t>
  </si>
  <si>
    <t>4.2.2</t>
  </si>
  <si>
    <t>Theo Thông tư số 150/2014/TT- BTC ngày 10 tháng 10 năm 2014 của Bộ Tài chính</t>
  </si>
  <si>
    <t>BẢNG TỔNG HỢP VẬT LIỆU - NHÂN CÔNG - MÁY THI CÔNG</t>
  </si>
  <si>
    <t>Ggstcxd</t>
  </si>
  <si>
    <t>100m2</t>
  </si>
  <si>
    <t>Quyết định đầu tư được duyệt (số, ngày, tháng, năm):</t>
  </si>
  <si>
    <t>Kế hoặc năm...</t>
  </si>
  <si>
    <t>Máy đầm dùi 1,5kW</t>
  </si>
  <si>
    <t>I. Căn cứ lập:</t>
  </si>
  <si>
    <t>Chi phí xây dựng (chưa có thuế GTGT) của giá gói thầu thi công xây dựng được duyệt (tỷ đồng)</t>
  </si>
  <si>
    <t xml:space="preserve"> LỀ RÃNH</t>
  </si>
  <si>
    <t>Gxd x trước thuế x tỷ lệ</t>
  </si>
  <si>
    <t>Đào xúc đất sạt lở ta luy đồi xuống đường bằng máy xúc đào 0,4m3</t>
  </si>
  <si>
    <t>Phụ lục 05</t>
  </si>
  <si>
    <t xml:space="preserve">        - Thanh toán cho nhà thầu</t>
  </si>
  <si>
    <t>3.2</t>
  </si>
  <si>
    <t>Bằng chữ: Bốn đồng chẵn ./.</t>
  </si>
  <si>
    <t>Chi phí chung</t>
  </si>
  <si>
    <t>Tổng cước trước thuế</t>
  </si>
  <si>
    <t>Gttbcktkt_dt</t>
  </si>
  <si>
    <t>Nhà thầu:</t>
  </si>
  <si>
    <t>Tổng khối lượng phát sinh</t>
  </si>
  <si>
    <t>Hệ số bù giá nhân công</t>
  </si>
  <si>
    <t>II</t>
  </si>
  <si>
    <t>Xi măng</t>
  </si>
  <si>
    <t>Loại công trình</t>
  </si>
  <si>
    <t>Cước VC</t>
  </si>
  <si>
    <t>N1307</t>
  </si>
  <si>
    <t>Gkiemtoan</t>
  </si>
  <si>
    <t>Theo Thông tư số 258/2016/TT-BTC ngày 11 tháng 11 năm 2016 của Bộ Tài chính</t>
  </si>
  <si>
    <t>Gỗ các loại</t>
  </si>
  <si>
    <t>Tên thông tin</t>
  </si>
  <si>
    <t>Thép các loại</t>
  </si>
  <si>
    <t>Luỹ kế vốn thanh toán từ khởi công đến hết niên độ ngân sách năm kế hoạch:</t>
  </si>
  <si>
    <t>a3</t>
  </si>
  <si>
    <t>Khối lượng phát sinh ngoài hợp đồng</t>
  </si>
  <si>
    <t>1.2.4</t>
  </si>
  <si>
    <t>Phụ lục 03.a</t>
  </si>
  <si>
    <t>Đắp phụ nền, lề đường bằng Đá dăm cấp phối loại II (Subbase)</t>
  </si>
  <si>
    <t>Thời gian xuất</t>
  </si>
  <si>
    <t>AM.2323</t>
  </si>
  <si>
    <t>[6]</t>
  </si>
  <si>
    <t>Máy trộn bê tông 250 lít</t>
  </si>
  <si>
    <t>AM.2312</t>
  </si>
  <si>
    <t>Máy rải cấp phối đá dăm 50 - 60m3/h</t>
  </si>
  <si>
    <t>5.2</t>
  </si>
  <si>
    <t>Khoản mục chi phí</t>
  </si>
  <si>
    <t>Căn cứ Bảng thông tin Dự toán số...</t>
  </si>
  <si>
    <t>Phụ lục số 2: Phí thẩm định dự toán xây dựng khi cơ quan chuyên môn về xây dựng mời tổ chức tư vấn, cá nhân cùng thẩm định</t>
  </si>
  <si>
    <t>Chi phí thẩm tra Báo cáo kinh tế - kỹ thuật, phần thiết kế</t>
  </si>
  <si>
    <t>0,076</t>
  </si>
  <si>
    <t>KLHT nghiệm thu trong kỳ này</t>
  </si>
  <si>
    <t>M106.0207</t>
  </si>
  <si>
    <t>Địa điểm xây dựng</t>
  </si>
  <si>
    <t>Chi phí thẩm định hồ sơ mời thầu, hồ sơ yêu cầu (Nghị định 63/2014/NĐ-CP)</t>
  </si>
  <si>
    <t>Gtkbv</t>
  </si>
  <si>
    <t>Gdpxd</t>
  </si>
  <si>
    <t xml:space="preserve">0,011 </t>
  </si>
  <si>
    <t>Thuộc nguồn vốn: (XDCB tập trung; CTMT….)……………………………………….............</t>
  </si>
  <si>
    <t>hsKVM</t>
  </si>
  <si>
    <t>0,043</t>
  </si>
  <si>
    <t>thép các loại</t>
  </si>
  <si>
    <t>(Gxd+Gtb) trước thuế x tỷ lệ</t>
  </si>
  <si>
    <t>3.7</t>
  </si>
  <si>
    <t>Cận dưới</t>
  </si>
  <si>
    <t>0,021</t>
  </si>
  <si>
    <t>Cát vàng</t>
  </si>
  <si>
    <t>Chi phí thiết bị (chưa có thuế GTGT) của giá gói thầu mua sắm vật tư, thiết bị lắp đặt vào công trình được duyệt (tỷ đồng)</t>
  </si>
  <si>
    <t>Cột 6: vốn tạm ứng theo chế độ còn lại chưa thu hồi đến 31/1 năm sau.</t>
  </si>
  <si>
    <t>0,010</t>
  </si>
  <si>
    <t>Chi phí nhà tạm để ở và điều hành thi công</t>
  </si>
  <si>
    <t>1.2.3</t>
  </si>
  <si>
    <t>AM.2322</t>
  </si>
  <si>
    <t>Chi phí hoàn trả mặt bằng và hạ tầng kỹ thuật</t>
  </si>
  <si>
    <t>Chi phí vận chuyển</t>
  </si>
  <si>
    <t>đất</t>
  </si>
  <si>
    <t>AM.2311</t>
  </si>
  <si>
    <t>HT</t>
  </si>
  <si>
    <t>(bảng tổng hợp dự toán gói thầu)</t>
  </si>
  <si>
    <t>59864.44</t>
  </si>
  <si>
    <t>- Số trả đơn vị thụ hưởng (bằng số)…………………….</t>
  </si>
  <si>
    <t>Thông tư 03/2015/TT-BKHĐT</t>
  </si>
  <si>
    <t xml:space="preserve">    2.2. Tiền bảo hành công trình (trong trường hợp không bảo lãnh bảo hành công trình):</t>
  </si>
  <si>
    <t>M1235</t>
  </si>
  <si>
    <t>Bù vênh mặt đường bằng Đá dăm cấp phối loại II (Subbase)</t>
  </si>
  <si>
    <t>SF.11311.VD</t>
  </si>
  <si>
    <t>Glhsmqt</t>
  </si>
  <si>
    <t>KL phụ</t>
  </si>
  <si>
    <t>0,049</t>
  </si>
  <si>
    <t>AM.2512</t>
  </si>
  <si>
    <t>Lái xe 2/4 Nhóm 4</t>
  </si>
  <si>
    <t>Sau thuế</t>
  </si>
  <si>
    <t>0,027</t>
  </si>
  <si>
    <t>MĐ Yên Vượng</t>
  </si>
  <si>
    <t>11</t>
  </si>
  <si>
    <t>Bảng tính đơn giá phương tiện vận chuyển theo TT13/2021/TT-BXD</t>
  </si>
  <si>
    <t>0,016</t>
  </si>
  <si>
    <t>Phí thẩm định dự án đầu tư xây dựng (Thông tư 209/2016/TT-BTC)</t>
  </si>
  <si>
    <t>0,005</t>
  </si>
  <si>
    <t xml:space="preserve"> - Nhân công theo đơn giá</t>
  </si>
  <si>
    <t>Kiểm toán ( %)</t>
  </si>
  <si>
    <t>3.3.3</t>
  </si>
  <si>
    <t>Nhóm dự án</t>
  </si>
  <si>
    <t>- Vốn trong nước…………...tại :……………………………………….</t>
  </si>
  <si>
    <t>Lương tối thiểu chung</t>
  </si>
  <si>
    <t>0,059</t>
  </si>
  <si>
    <t>Chi phí xây dựng (chưa có thuế GTGT) của giá gói thầu được duyệt (tỷ đồng)</t>
  </si>
  <si>
    <t>Biểu mức thu phí thẩm định dự án đầu tư xây dựng</t>
  </si>
  <si>
    <t>Giá V/C sau khi điều chỉnh</t>
  </si>
  <si>
    <t>c</t>
  </si>
  <si>
    <t>Chi phí đánh giá hồ sơ dự thầu, hồ sơ đề xuất (Nghị định 63/2014/NĐ-CP)</t>
  </si>
  <si>
    <t>Ghqkt</t>
  </si>
  <si>
    <t>AM.2511</t>
  </si>
  <si>
    <t>[1]</t>
  </si>
  <si>
    <t>0,037</t>
  </si>
  <si>
    <t xml:space="preserve">4. Thanh toán để thu hồi tạm ứng: </t>
  </si>
  <si>
    <t>0,026</t>
  </si>
  <si>
    <t>Đơn vị tính: tỷ lệ %</t>
  </si>
  <si>
    <t>0,015</t>
  </si>
  <si>
    <t>Mã dự án:</t>
  </si>
  <si>
    <t>AM.2712</t>
  </si>
  <si>
    <t>0,004</t>
  </si>
  <si>
    <t>MSVT</t>
  </si>
  <si>
    <t>Chi phí Thẩm định báo cáo đánh giá tác động môi trường (Thông tư 195/2016/TT-BTC)</t>
  </si>
  <si>
    <t>Cách tính giá VL</t>
  </si>
  <si>
    <t>5.2.2</t>
  </si>
  <si>
    <t>Lạng Sơn, ngày ... tháng ... năm 2025</t>
  </si>
  <si>
    <t>M1614</t>
  </si>
  <si>
    <t>Đơn giá thanh toán</t>
  </si>
  <si>
    <t>NUYỀN VĂN A</t>
  </si>
  <si>
    <t>(Ký, ghi rõ họ tên chức vụ và đóng dấu)</t>
  </si>
  <si>
    <t>Nhân công bậc 3,5/7 - Nhóm 2</t>
  </si>
  <si>
    <t>Căn cứ xác định:</t>
  </si>
  <si>
    <t>Bảng số 24: Định mức chi phí giám sát công tác khảo sát</t>
  </si>
  <si>
    <t>M1419</t>
  </si>
  <si>
    <t>Chi phí xây dựng trước thuế</t>
  </si>
  <si>
    <t>Các chi phí khác...</t>
  </si>
  <si>
    <t>M0143</t>
  </si>
  <si>
    <t>2. Phí thẩm tra dự toán</t>
  </si>
  <si>
    <t>AM.2711</t>
  </si>
  <si>
    <t>Thiết kế 2 bước</t>
  </si>
  <si>
    <t>TỔNG CỘNG (1+2+3)</t>
  </si>
  <si>
    <t>Vận chuyển đá tảng, cục bê tông, ĐK 0,4÷1m, ô tô tự đổ 12T trong phạm vi ≤1000m</t>
  </si>
  <si>
    <t>Hệ số bậc hàng</t>
  </si>
  <si>
    <t>d1 x e1</t>
  </si>
  <si>
    <t>Chi phí thẩm định dự toán (Thông tư 210/2016/TT-BTC)</t>
  </si>
  <si>
    <t>C2234</t>
  </si>
  <si>
    <t>Ô tô vận chuyển đất đi đổ</t>
  </si>
  <si>
    <t>Phụ lục số 2: Phí thẩm tra thiết kế xây dựng công trình sử dụng vốn ngân sách nhà nước khi cơ quan quản lý nhà nước thuê tổ chức tư vấn, cá nhân cùng thẩm tra</t>
  </si>
  <si>
    <t>Đơn giá phương tiện vận chuyển (đồng/ca)</t>
  </si>
  <si>
    <t>N4407</t>
  </si>
  <si>
    <t>Cự ly &lt;=60km</t>
  </si>
  <si>
    <t>Tổng cự ly(km)</t>
  </si>
  <si>
    <t>2.2.4</t>
  </si>
  <si>
    <t>Chi phí kiểm toán độc lập (Thông tư 10/2020/TT-BTC)</t>
  </si>
  <si>
    <t xml:space="preserve"> - Đơn giá máy</t>
  </si>
  <si>
    <t>Chi phí thiết bị</t>
  </si>
  <si>
    <t>Số tiền bằng chữ:………………………...(là số tiền đề nghị thanh toán kỳ này).</t>
  </si>
  <si>
    <t>hsDP</t>
  </si>
  <si>
    <t>517*3,5+50 = 1.859,5</t>
  </si>
  <si>
    <t>Glhsyc79</t>
  </si>
  <si>
    <t>Chênh lệch vốn thanh toán trong năm:</t>
  </si>
  <si>
    <t>Trước thuế</t>
  </si>
  <si>
    <t>5. Giá trị đề nghị giải ngân kỳ này: ... Số tiền bằng chữ: ... (là số tiền đề nghị giải ngân kỳ này), trong đó:</t>
  </si>
  <si>
    <t>Thành tiền bốc xuống</t>
  </si>
  <si>
    <t>Phụ lục số 03.b</t>
  </si>
  <si>
    <t>Giấy nilong</t>
  </si>
  <si>
    <t>Cấp III</t>
  </si>
  <si>
    <t>Hệ số phụ cấp trách nhiệm</t>
  </si>
  <si>
    <t>1. Giá trị tạm ứng còn lại chưa thu hồi đến hết kỳ trước:</t>
  </si>
  <si>
    <t>Phụ cấp lưu động</t>
  </si>
  <si>
    <t>Trách nhiệm</t>
  </si>
  <si>
    <t>Đào bằng thủ công: 571*0,3*0,1 = 17,13</t>
  </si>
  <si>
    <t>2.2.3</t>
  </si>
  <si>
    <t>Hệ số chi phí chung</t>
  </si>
  <si>
    <t>Năm 2018/2017</t>
  </si>
  <si>
    <t>Vật liệu phụ</t>
  </si>
  <si>
    <t>Bậc 3</t>
  </si>
  <si>
    <t>Năm 2017</t>
  </si>
  <si>
    <t>517*0,2*2/100 = 2,068</t>
  </si>
  <si>
    <t>Nhân công bậc 3,0/7 - Nhóm 4</t>
  </si>
  <si>
    <t>Quy đổi đơn vị</t>
  </si>
  <si>
    <t>2. Số tiền đã thanh toán khối lượng hoàn thành đến hết kỳ trước:</t>
  </si>
  <si>
    <t>Chi phí sau thuế</t>
  </si>
  <si>
    <t>2.3</t>
  </si>
  <si>
    <t>nhựa đường</t>
  </si>
  <si>
    <t>Kiểu Tiên lượng</t>
  </si>
  <si>
    <t>Hệ số phụ cấp khoán trực tiếp</t>
  </si>
  <si>
    <t>M1164</t>
  </si>
  <si>
    <t>Kế hoạch vốn trong năm</t>
  </si>
  <si>
    <t>10m3/1km</t>
  </si>
  <si>
    <t>CapCongTrinh</t>
  </si>
  <si>
    <t>Gttbcktkt_tk</t>
  </si>
  <si>
    <t>Lũy kế giá trị KLHT đã thanh toán đến hết kỳ trước</t>
  </si>
  <si>
    <t xml:space="preserve">   - ĐƯỜNG BÊ TÔNG XI MĂNG CẤP A</t>
  </si>
  <si>
    <t>Đá 2x4</t>
  </si>
  <si>
    <t>ZM999</t>
  </si>
  <si>
    <t>Lũy kế giá trị KLHT đã thanh toán đến hết kỳ này</t>
  </si>
  <si>
    <t>V12592</t>
  </si>
  <si>
    <t>4.3.3</t>
  </si>
  <si>
    <t>Định mức chi phí quản lý dự án và tư vấn đầu tư xây dựng</t>
  </si>
  <si>
    <t>Gtdhsmqt</t>
  </si>
  <si>
    <t xml:space="preserve">0,025 </t>
  </si>
  <si>
    <t>HS phụ</t>
  </si>
  <si>
    <t>San gạt tạo phẳng nền đường bằng máy San</t>
  </si>
  <si>
    <t>3</t>
  </si>
  <si>
    <t>CachThamDinh</t>
  </si>
  <si>
    <t>- Định mức dự toán xây dựng công trình phần lắp đặt (sửa đổi và bổ sung) công bố kèm theo Quyết định số 1173/QĐ-BXD ngày 26/12/2012 của Bộ xây dựng.</t>
  </si>
  <si>
    <t>AF.82411</t>
  </si>
  <si>
    <t>Phụ lục bổ sung hợp đồng số … ngày … tháng … năm</t>
  </si>
  <si>
    <t>Đoạn ngã 3 và cổng nhà dân mở rộng: 50/100 = 0,5</t>
  </si>
  <si>
    <t>Chi phí thiết kế kỹ thuật</t>
  </si>
  <si>
    <t>2.2</t>
  </si>
  <si>
    <t>Biên bản nghiệm thu số ….. ngày…..tháng…..năm.….</t>
  </si>
  <si>
    <t>hsVLPhu</t>
  </si>
  <si>
    <t>CƠ QUAN LẬP</t>
  </si>
  <si>
    <t>- Công bố giá vật liệu Liên Sở Xây dựng - Tài chính tỉnh ....</t>
  </si>
  <si>
    <t>Cấp công trình</t>
  </si>
  <si>
    <t>TKKT79^</t>
  </si>
  <si>
    <t>Loại công trình/
Loại thiết kế/
cấp công trình</t>
  </si>
  <si>
    <t>AM.2473</t>
  </si>
  <si>
    <t>GiaTB</t>
  </si>
  <si>
    <t xml:space="preserve"> Chi phí lập hồ sơ mời thầu, hồ sơ yêu cầu (Nghị định 63/2014/NĐ-CP)</t>
  </si>
  <si>
    <t>Chi phí bảo hiểm công trình (Thông tư 329/2016/TT-BTC)</t>
  </si>
  <si>
    <t>AM.2462</t>
  </si>
  <si>
    <t>Tổng mức đầu tư được duyệt:</t>
  </si>
  <si>
    <t>4.3</t>
  </si>
  <si>
    <t>AM.2451</t>
  </si>
  <si>
    <t>Chi phí giám sát lắp đặt thiết bị</t>
  </si>
  <si>
    <t>Số tiền bồi thường, hỗ trợ và tái định cư đã chi trả cho đơn vị thụ hưởng theo phương án được duyệt</t>
  </si>
  <si>
    <t>Cự ly (km)</t>
  </si>
  <si>
    <t>4.3.2</t>
  </si>
  <si>
    <t xml:space="preserve">0,026 </t>
  </si>
  <si>
    <t>CÔNG TRÌNH: Tên công trình</t>
  </si>
  <si>
    <t>9</t>
  </si>
  <si>
    <t>M1591</t>
  </si>
  <si>
    <t>Nhóm hàng</t>
  </si>
  <si>
    <t>Phụ lục số 2: Phí thẩm định thiết kế kỹ thuật khi cơ quan chuyên môn về xây dựng mời tổ chức tư vấn, cá nhân cùng thẩm định</t>
  </si>
  <si>
    <t>Loại thiết kế:</t>
  </si>
  <si>
    <t>Chi phí thẩm định phê duyệt thiết kế về phòng cháy và chữa cháy (Thông tư 258/2016/TT-BTC)</t>
  </si>
  <si>
    <t>Loại công trình:</t>
  </si>
  <si>
    <t>Biểu mức tỷ lệ tính phí thẩm định phê duyệt thiết kế về phòng cháy và chữa cháy</t>
  </si>
  <si>
    <t>Thành phần hao phí</t>
  </si>
  <si>
    <t>VL phụ</t>
  </si>
  <si>
    <t>Chi phí dự phòng</t>
  </si>
  <si>
    <t>TKKT79$</t>
  </si>
  <si>
    <t>CHỈ SỐ TRƯỢT GIÁ BÌNH QUÂN</t>
  </si>
  <si>
    <t>4.2</t>
  </si>
  <si>
    <t>Chi phí tư vấn đầu tư xây dựng</t>
  </si>
  <si>
    <t>LangSon_2024SC_DG1842  Thông tư 12/2021/TT-BXD ngày 31/8/2021 của Bộ Xây dựng</t>
  </si>
  <si>
    <t>Đơn vị tính: đồng</t>
  </si>
  <si>
    <t>Cước biển</t>
  </si>
  <si>
    <t>Gttdt_BTC</t>
  </si>
  <si>
    <t>Thanh toán khối lượng hoàn thành</t>
  </si>
  <si>
    <t>M106.0107</t>
  </si>
  <si>
    <t>Loại 4</t>
  </si>
  <si>
    <t xml:space="preserve"> Định mức khác</t>
  </si>
  <si>
    <t>8</t>
  </si>
  <si>
    <t>Đơn giá bổ sung</t>
  </si>
  <si>
    <t>Giá trị</t>
  </si>
  <si>
    <t>Gạch ốp các loại</t>
  </si>
  <si>
    <t>Nghị định 63/2014/NĐ-CP</t>
  </si>
  <si>
    <t xml:space="preserve">Chi phí dự phòng cho yếu tố khối lượng phát sinh </t>
  </si>
  <si>
    <t>cát xây dựng</t>
  </si>
  <si>
    <t>150*3,7*0,03/100 = 0,1665</t>
  </si>
  <si>
    <t>Theo bảng tổng hợp chi phí thiết bị</t>
  </si>
  <si>
    <t xml:space="preserve"> - Máy khác</t>
  </si>
  <si>
    <t>F-E</t>
  </si>
  <si>
    <t xml:space="preserve">0,020 </t>
  </si>
  <si>
    <t>Chiết tính theo giá</t>
  </si>
  <si>
    <t xml:space="preserve">    6.2. Thanh toán khối lượng hoàn thành: ...</t>
  </si>
  <si>
    <t>Theo Thông tư số 176/2011/TT-BTC ngày 6/12/2011 của Bộ Tài chính</t>
  </si>
  <si>
    <t>VLP</t>
  </si>
  <si>
    <t>Đất</t>
  </si>
  <si>
    <t>Máy đầm bàn 1kW</t>
  </si>
  <si>
    <t>Thu hút</t>
  </si>
  <si>
    <t>3.2.4</t>
  </si>
  <si>
    <t>TenCongTrinh</t>
  </si>
  <si>
    <t>Nội dung chi phí</t>
  </si>
  <si>
    <t>CPKT09^</t>
  </si>
  <si>
    <t>1.3.4</t>
  </si>
  <si>
    <t>Mẫu THKPHM</t>
  </si>
  <si>
    <t>...........</t>
  </si>
  <si>
    <t>AM.2423</t>
  </si>
  <si>
    <t>Gthamdinh</t>
  </si>
  <si>
    <t>Tên công trình</t>
  </si>
  <si>
    <t>AM.2412</t>
  </si>
  <si>
    <t>Cát các loại</t>
  </si>
  <si>
    <t>TTDT79^</t>
  </si>
  <si>
    <t xml:space="preserve">  +   Lái xe bậc 3,0/4 - Nhóm 4</t>
  </si>
  <si>
    <t xml:space="preserve"> - Vật liệu theo đơn giá</t>
  </si>
  <si>
    <t>T x 1,1%</t>
  </si>
  <si>
    <t>1. Tổng giá trị khối lượng phát sinh:</t>
  </si>
  <si>
    <t>Phụ lục số 1: Phí thẩm định dự toán xây dựng</t>
  </si>
  <si>
    <t>+ Chuyển vào tài khoản tạm giữ chờ quyết toán</t>
  </si>
  <si>
    <t>Sỏi, đá dăm</t>
  </si>
  <si>
    <t>Hệ số</t>
  </si>
  <si>
    <t>NLX434</t>
  </si>
  <si>
    <t>BẢNG TỔNG HỢP CHI PHÍ XÂY DỰNG CÔNG TRÌNH</t>
  </si>
  <si>
    <t>Công tác đào rãnh, hố ga để đặt cống thoát nước đầu tuyến bằng thủ công</t>
  </si>
  <si>
    <t>Vật liệu theo đơn giá</t>
  </si>
  <si>
    <t>3.2.3</t>
  </si>
  <si>
    <t>Ô tô thùng 20T</t>
  </si>
  <si>
    <t>D</t>
  </si>
  <si>
    <t>III.) MÁY THI CÔNG</t>
  </si>
  <si>
    <t>Hệ số riêng VL</t>
  </si>
  <si>
    <t>Chi phí xây dựng (Gxd):</t>
  </si>
  <si>
    <t>Gdp1 + Gdp2</t>
  </si>
  <si>
    <t>Giá V/C trước thuế(đ)</t>
  </si>
  <si>
    <t>MSCV</t>
  </si>
  <si>
    <t>CPKT09$</t>
  </si>
  <si>
    <t>Căn cứ hợp đồng số:………………….ngày…. tháng….. năm………………………………………………………</t>
  </si>
  <si>
    <t>Mã hiệu</t>
  </si>
  <si>
    <t>TL</t>
  </si>
  <si>
    <t>Gtttkkt</t>
  </si>
  <si>
    <t>Bảng số 16: Định mức chi phí thẩm tra báo cáo nghiên cứu khả thi</t>
  </si>
  <si>
    <t>AM.2612</t>
  </si>
  <si>
    <t>Bốn đồng</t>
  </si>
  <si>
    <t>TTDT79$</t>
  </si>
  <si>
    <t>Tổng lương và phụ cấp</t>
  </si>
  <si>
    <t>TTQT09^</t>
  </si>
  <si>
    <t>LoaiThietKe</t>
  </si>
  <si>
    <t>Tạm ứng</t>
  </si>
  <si>
    <t>Giá dự thầu</t>
  </si>
  <si>
    <t>517*3,5/100 = 18,095</t>
  </si>
  <si>
    <t>hsCPC</t>
  </si>
  <si>
    <t>Nhân công</t>
  </si>
  <si>
    <t>Glcldtb</t>
  </si>
  <si>
    <t>C</t>
  </si>
  <si>
    <t>+ Vốn trong nước…………………………………….</t>
  </si>
  <si>
    <t>c^2</t>
  </si>
  <si>
    <t>5.3.3</t>
  </si>
  <si>
    <t>Hệ số riêng máy</t>
  </si>
  <si>
    <t>GIÁ TRỊ TRƯỚC THUẾ</t>
  </si>
  <si>
    <t>Thành tiền</t>
  </si>
  <si>
    <t>Thanh toán cho các cơ quan, tổ chức:</t>
  </si>
  <si>
    <t>TÍNH CHI PHÍ DỰ PHÒNG TRƯỢT GIÁ</t>
  </si>
  <si>
    <t>Biểu mức thu phí II - phí thẩm duyệt về phòng cháy, chữa cháy đối với dự án, công trình</t>
  </si>
  <si>
    <t>Rải giấy ni long lớp cách ly</t>
  </si>
  <si>
    <t>3. Số tiền đã thanh toán khối lượng hoàn thành đến cuối kỳ trước:</t>
  </si>
  <si>
    <t>LTB79^</t>
  </si>
  <si>
    <t>Tổng số:</t>
  </si>
  <si>
    <t>Công tác đánh bóng mặt đường bằng máy</t>
  </si>
  <si>
    <t>- Nghị định số 141/2017/NĐ-CP ngày 07/12/2017 của Chính phủ quy định mức lương tối thiểu vùng đối với người lao động làm việc theo hợp đồng lao động</t>
  </si>
  <si>
    <t>517/5*3,5/10 = 36,19</t>
  </si>
  <si>
    <t>Vận chuyển vật liệu bằng ô tô tự đổ</t>
  </si>
  <si>
    <t>BẢNG GIÁ NHÂN CÔNG</t>
  </si>
  <si>
    <t>CỘNG HẠNG MỤC</t>
  </si>
  <si>
    <t>Gttdt</t>
  </si>
  <si>
    <t>TTQT09$</t>
  </si>
  <si>
    <t>HẠNG MỤC: ĐƯỜNG BÊ TÔNG XI MĂNG CẤP A</t>
  </si>
  <si>
    <t>I</t>
  </si>
  <si>
    <t>Số lượng</t>
  </si>
  <si>
    <t>GSLD$</t>
  </si>
  <si>
    <t>Loại sông</t>
  </si>
  <si>
    <t>(Ký, họ tên)</t>
  </si>
  <si>
    <t>Mã dự án đầu tư:……………………</t>
  </si>
  <si>
    <t>M0694</t>
  </si>
  <si>
    <t>CHMC</t>
  </si>
  <si>
    <t>5.3.2</t>
  </si>
  <si>
    <t xml:space="preserve">DonGia_User  </t>
  </si>
  <si>
    <t>(T + GT ) x 6,0%</t>
  </si>
  <si>
    <t>THU NHẬP CHỊU THUẾ TÍNH TRƯỚC</t>
  </si>
  <si>
    <t>Gxd</t>
  </si>
  <si>
    <t>M0661</t>
  </si>
  <si>
    <t>TỔNG CỘNG (CNT + CKKL + CK)</t>
  </si>
  <si>
    <t>Thiết kế 3 bước</t>
  </si>
  <si>
    <t>Căn cứ Bảng thông tin của Hợp đồng số…</t>
  </si>
  <si>
    <t>LTB79$</t>
  </si>
  <si>
    <t>Chi phí thẩm định kết quả lựa chọn nhà thầu kể cả trường hợp không lựa chọn được nhà thầu được tính bằng 0,05% giá gói thầu nhưng tối thiểu là 1.000.000 đồng và tối đa là 50.000.000 đồng</t>
  </si>
  <si>
    <t>………………………………………………………………………………………………….</t>
  </si>
  <si>
    <t>HẠNG MỤC</t>
  </si>
  <si>
    <t>TỔNG HỢP TỔNG MỨC ĐẦU TƯ XÂY DỰNG</t>
  </si>
  <si>
    <t xml:space="preserve">Quyết định số: 18/QĐ-SXD ngày 15/01/2025 của Sở Xây dựng tỉnh Lạng Sơn </t>
  </si>
  <si>
    <t>Nước</t>
  </si>
  <si>
    <t>BẢNG TÍNH CƯỚC VẬN CHUYỂN VẬT LIỆU BẰNG Ô TÔ</t>
  </si>
  <si>
    <t>Xi măng bao</t>
  </si>
  <si>
    <t>Ký hiệu</t>
  </si>
  <si>
    <t>Chi phí đánh giá hồ sơ dự thầu, hồ sơ đề xuất được tính bằng 0,1% giá gói thầu nhưng tối thiểu là 1.000.000 đồng và tối đa là 50.000.000 đồng.</t>
  </si>
  <si>
    <t>hsm</t>
  </si>
  <si>
    <t>C + LT + TT</t>
  </si>
  <si>
    <t>+ Số vốn kéo dài KH năm trước chuyển sang:</t>
  </si>
  <si>
    <t>Chi phí</t>
  </si>
  <si>
    <t>KL thi công</t>
  </si>
  <si>
    <t>2. Giá trị tạm ứng theo hợp đồng còn lại chưa thu hồi đến cuối kỳ trước:</t>
  </si>
  <si>
    <t>GIẤY ĐỀ NGHỊ THANH TOÁN VỐN ĐẦU TƯ</t>
  </si>
  <si>
    <t>(Ký, ghi rõ họ tên và đóng dấu)</t>
  </si>
  <si>
    <t>Luỹ kế đến hết kỳ trước</t>
  </si>
  <si>
    <t>Tên nhân công</t>
  </si>
  <si>
    <t>Bù NL</t>
  </si>
  <si>
    <t>Vốn trong nước</t>
  </si>
  <si>
    <t>2.3.4</t>
  </si>
  <si>
    <t>Gtdkqnt</t>
  </si>
  <si>
    <t>Công việc thực hiện thông qua hợp đồng</t>
  </si>
  <si>
    <t>Mã VT</t>
  </si>
  <si>
    <t>- Vốn trong nước: là số vốn còn lại của KH năm trước được kéo dài thanh toán trong năm theo quy định cụ thể từng trường hợp (tối đa đến 31/1 năm sau)</t>
  </si>
  <si>
    <t>III.)</t>
  </si>
  <si>
    <t>5. Thanh toán để thu hồi tạm ứng:</t>
  </si>
  <si>
    <t>1.3</t>
  </si>
  <si>
    <t xml:space="preserve">San gạt tạo phẳng nền đường bằng máy San </t>
  </si>
  <si>
    <t>Chi phí lập báo cáo nghiên cứu khả thi</t>
  </si>
  <si>
    <t>Giá TB x HS</t>
  </si>
  <si>
    <t>Khối lượng phát sinh so với hợp đồng ban đầu</t>
  </si>
  <si>
    <t>d2</t>
  </si>
  <si>
    <t>-------------o0o-------------</t>
  </si>
  <si>
    <t>T</t>
  </si>
  <si>
    <t>AM.2352</t>
  </si>
  <si>
    <t xml:space="preserve">  + Diezel</t>
  </si>
  <si>
    <t>- Định mức dự toán xây dựng công trình phần xây dựng (sửa đổi và bổ sung) công bố kèm theo Quyết định số 1172/QĐ-BXD ngày 26/12/2012 của Bộ xây dựng.</t>
  </si>
  <si>
    <t>Hệ số phụ cấp lưu động</t>
  </si>
  <si>
    <t>AM.2341</t>
  </si>
  <si>
    <t>&lt; 15</t>
  </si>
  <si>
    <t>Vốn ứng trước kế hoạch năm sau (vốn trong nước)</t>
  </si>
  <si>
    <t>4.2.3</t>
  </si>
  <si>
    <t>Gttbcnckt</t>
  </si>
  <si>
    <t>Đơn giá</t>
  </si>
  <si>
    <t xml:space="preserve">0,015 </t>
  </si>
  <si>
    <t>TTTKT79^</t>
  </si>
  <si>
    <t>100m3</t>
  </si>
  <si>
    <t>Bê tông sản xuất bằng máy trộn và đổ bằng thủ công, bê tông mặt đường dày mặt đường ≤25cm, bê tông M250, đá 2x4, PCB30</t>
  </si>
  <si>
    <t>Cước khác</t>
  </si>
  <si>
    <t>&lt;= 1</t>
  </si>
  <si>
    <t>G x 8%</t>
  </si>
  <si>
    <t xml:space="preserve"> - Vât liệu khác</t>
  </si>
  <si>
    <t>0,072</t>
  </si>
  <si>
    <t>Đào kênh mương, chiều rộng kênh mương ≤6m bằng máy đào 0,4m3 - Cấp đất III</t>
  </si>
  <si>
    <t>M106.0203</t>
  </si>
  <si>
    <t xml:space="preserve">Quyết định số: 17/QĐ-SXD ngày 15/01/2025 của Sở Xây dựng tỉnh Lạng Sơn </t>
  </si>
  <si>
    <t>Phụ lục 06</t>
  </si>
  <si>
    <t>Gánh bộ, khiêng vác</t>
  </si>
  <si>
    <t xml:space="preserve">    2.1. Thanh toán cho nhà thầu:</t>
  </si>
  <si>
    <t>Cước TC</t>
  </si>
  <si>
    <t>3.3</t>
  </si>
  <si>
    <t>LT</t>
  </si>
  <si>
    <t>Chi phí tư vấn (chưa có thuế GTGT) của giá gói thầu được duyệt (tỷ đồng)</t>
  </si>
  <si>
    <t>Cắt khe co, dãn mặt đường BTXM ( 5m cắt 1 mạch)</t>
  </si>
  <si>
    <t>Gbommin</t>
  </si>
  <si>
    <t>Tổng mức đầu tư (Gxdct):</t>
  </si>
  <si>
    <t>CỘNG HOÀ XÃ HỘI CHỦ NGHĨA VIỆT NAM</t>
  </si>
  <si>
    <t>Thi công hố ga 2 đầu cống</t>
  </si>
  <si>
    <t>Đơn giá gốc</t>
  </si>
  <si>
    <r>
      <t>Phiên bản mẫu xuất Excel:</t>
    </r>
    <r>
      <rPr>
        <sz val="11"/>
        <rFont val="Times New Roman"/>
        <family val="1"/>
      </rPr>
      <t xml:space="preserve"> </t>
    </r>
    <r>
      <rPr>
        <b/>
        <sz val="11"/>
        <color indexed="10"/>
        <rFont val="Times New Roman"/>
        <family val="1"/>
      </rPr>
      <t>2.0</t>
    </r>
  </si>
  <si>
    <t>NCTKT79^</t>
  </si>
  <si>
    <t>Cước sông</t>
  </si>
  <si>
    <t>Hệ số loại đường</t>
  </si>
  <si>
    <t>CHỈ SỐ GIÁ GỐC CÁC NĂM</t>
  </si>
  <si>
    <t>Thi công lớp đệm móng bằng đá mạt. chiều dài 150m</t>
  </si>
  <si>
    <t>Diễn giải khối lượng</t>
  </si>
  <si>
    <t>0,078</t>
  </si>
  <si>
    <t>BẢNG TÍNH GIÁ VỮA</t>
  </si>
  <si>
    <t>Chủ đầu tư</t>
  </si>
  <si>
    <t>Tình hình thanh toán vốn:</t>
  </si>
  <si>
    <t>Định mức chi phí thẩm tra, phê duyệt quyết toán</t>
  </si>
  <si>
    <t>Thành tiền HT</t>
  </si>
  <si>
    <t>TTTKT79$</t>
  </si>
  <si>
    <t>M106.0202</t>
  </si>
  <si>
    <t>Tên đơn vị thụ hưởng………………………………………………</t>
  </si>
  <si>
    <t>0,045</t>
  </si>
  <si>
    <t>Bảng số 20: Định mức chi phí lập hồ sơ mời thầu, đánh giá hồ sơ dự thầu thi công xây dựng</t>
  </si>
  <si>
    <t>(Căn cứ theo Nghị định 254/2025/NĐ-CP ngày 26/9/2025 của Chính Phủ - Phụ lục 03.a/TT)</t>
  </si>
  <si>
    <t>Mã hiệu công việc</t>
  </si>
  <si>
    <t>Chi phí lập nhiệm vụ khảo sát xây dựng</t>
  </si>
  <si>
    <t>Cước ô tô</t>
  </si>
  <si>
    <t>0,034</t>
  </si>
  <si>
    <t>- Định mức dự toán công tác thí nghiệm vật liệu công bố kèm theo Quyết định số 1169/QĐ-BXD  ngày 14/11/2017 của Bộ xây dựng.</t>
  </si>
  <si>
    <t>Gtmdt</t>
  </si>
  <si>
    <t>50*3,5*0,5/100 = 0,875</t>
  </si>
  <si>
    <t>0,023</t>
  </si>
  <si>
    <t>0,012</t>
  </si>
  <si>
    <t>2. Định mức:</t>
  </si>
  <si>
    <t>hsBGNC</t>
  </si>
  <si>
    <t>1.2.5</t>
  </si>
  <si>
    <t>Chi phí đánh giá hồ sơ quan tâm, hồ sơ dự sơ tuyển (Nghị định 63/2014/NĐ-CP)</t>
  </si>
  <si>
    <t>II.)</t>
  </si>
  <si>
    <t>AM.2324</t>
  </si>
  <si>
    <t>AM.2313</t>
  </si>
  <si>
    <t>Ô tô</t>
  </si>
  <si>
    <t>- Quyết định số 79/QĐ-BXD ngày 15/02/2017 của Bộ Xây dựng v/v công bố Định mức chi phí quản lý dự án và tư vấn đầu tư xây dựng.</t>
  </si>
  <si>
    <t>Thuế VAT</t>
  </si>
  <si>
    <t>5.3</t>
  </si>
  <si>
    <t>Tên thiết bị</t>
  </si>
  <si>
    <t>[5]</t>
  </si>
  <si>
    <t>NCTKT79$</t>
  </si>
  <si>
    <t>auto</t>
  </si>
  <si>
    <t>0,066</t>
  </si>
  <si>
    <t>Hệ số tỷ lệ thuế tính trước</t>
  </si>
  <si>
    <t>0,055</t>
  </si>
  <si>
    <t>- Định mức dự toán xây dựng công trình phần xây dựng (sửa đổi và bổ sung) công bố kèm theo Quyết định số 1091/QĐ-BXD ngày 26/12/2011 của Bộ xây dựng.</t>
  </si>
  <si>
    <t>Vốn TN</t>
  </si>
  <si>
    <t>Chi phí khảo sát xây dựng (Gks)</t>
  </si>
  <si>
    <t>&lt;=</t>
  </si>
  <si>
    <t>N2357</t>
  </si>
  <si>
    <t>Ghi chú</t>
  </si>
  <si>
    <t xml:space="preserve">0,010 </t>
  </si>
  <si>
    <t>13</t>
  </si>
  <si>
    <t>0,033</t>
  </si>
  <si>
    <t>Máy đào 3,6m3</t>
  </si>
  <si>
    <t>Ống bê tông D ≤600mm, L=1m</t>
  </si>
  <si>
    <t>0,022</t>
  </si>
  <si>
    <t>0,011</t>
  </si>
  <si>
    <t>Luỹ kế giá trị khối lượng nghiệm thu của hạng mục đề nghị thanh toán:……………..…đồng.</t>
  </si>
  <si>
    <t>Bằng chữ:……………………………………………………………………………………….</t>
  </si>
  <si>
    <t>Vốn ngoài nước</t>
  </si>
  <si>
    <t>Rộng</t>
  </si>
  <si>
    <t>Chi phí giám sát công tác khảo sát xây dựng</t>
  </si>
  <si>
    <t>- Tạm ứng: ...</t>
  </si>
  <si>
    <t>IV</t>
  </si>
  <si>
    <t>CHỦ ĐẦU TƯ</t>
  </si>
  <si>
    <t>Tổng vốn bao gồm cả trượt giá</t>
  </si>
  <si>
    <t>M1621</t>
  </si>
  <si>
    <t>GT</t>
  </si>
  <si>
    <t>QĐ phê duyệt phương án bồi thường, hỗ trợ và tái định cư</t>
  </si>
  <si>
    <t>Gtv</t>
  </si>
  <si>
    <t>AM.2513</t>
  </si>
  <si>
    <t>Định mức bốc xếp</t>
  </si>
  <si>
    <t>Định mức</t>
  </si>
  <si>
    <t>^</t>
  </si>
  <si>
    <t>Lương phụ</t>
  </si>
  <si>
    <t>GIÁM ĐỐC</t>
  </si>
  <si>
    <t>0,028</t>
  </si>
  <si>
    <t>12</t>
  </si>
  <si>
    <t>AL.22111</t>
  </si>
  <si>
    <t>%</t>
  </si>
  <si>
    <t>Chi phí thẩm định hồ sơ mời quan tâm, hồ sơ mời sơ tuyển (Nghị định 63/2014/NĐ-CP)</t>
  </si>
  <si>
    <t>0,017</t>
  </si>
  <si>
    <t>0,006</t>
  </si>
  <si>
    <t>Hệ số phụ cấp khu vực</t>
  </si>
  <si>
    <t>Hao phí</t>
  </si>
  <si>
    <t>3.3.4</t>
  </si>
  <si>
    <t>HS hình thức VC</t>
  </si>
  <si>
    <t>Gtttk_BTC</t>
  </si>
  <si>
    <t>[Name]</t>
  </si>
  <si>
    <t>Glapda</t>
  </si>
  <si>
    <t>- Định mức dự toán xây dựng công trình phần xây dựng công bố kèm theo văn bản số 1776/BXD-VP ngày 16/08/2007 của Bộ xây dựng.</t>
  </si>
  <si>
    <t>mặc định</t>
  </si>
  <si>
    <t>LHSTV79^</t>
  </si>
  <si>
    <t>TDDA209^</t>
  </si>
  <si>
    <t>AM.2713</t>
  </si>
  <si>
    <t>Chi phí giám sát thi công xây dựng</t>
  </si>
  <si>
    <t>N2307</t>
  </si>
  <si>
    <t>Gtttktc</t>
  </si>
  <si>
    <t>...</t>
  </si>
  <si>
    <t>Tấn</t>
  </si>
  <si>
    <t>5.2.3</t>
  </si>
  <si>
    <t>Chi phí thẩm tra thiết kế bản vẽ thi công</t>
  </si>
  <si>
    <t>NUYỀN VĂN B</t>
  </si>
  <si>
    <t>M1604</t>
  </si>
  <si>
    <t>Chi phí dự phòng (GDPXD1 + GDPXD2)</t>
  </si>
  <si>
    <t>XÁC ĐỊNH PHÂN BỔ VỐN HÀNG NĂM ĐÃ BAO GỒM TRƯỢT GIÁ</t>
  </si>
  <si>
    <t>Ô tô vận tải thùng 7T</t>
  </si>
  <si>
    <t>- Đơn giá xây dựng công trình phần sửa chữa ban hành kèm theo quyết định số .../....../ QĐ-UBND ngày .../....../ của UBND Tỉnh ....</t>
  </si>
  <si>
    <t>Theo bảng tổng hợp nhân công</t>
  </si>
  <si>
    <t xml:space="preserve">0,009 </t>
  </si>
  <si>
    <t>THUẾ GIÁ TRỊ GIA TĂNG</t>
  </si>
  <si>
    <t>LHSTV79$</t>
  </si>
  <si>
    <t>TTTK75^</t>
  </si>
  <si>
    <t>TDDA209$</t>
  </si>
  <si>
    <t>Đại diện nhà thầu</t>
  </si>
  <si>
    <t>hsKVNC</t>
  </si>
  <si>
    <t>Đá hộc</t>
  </si>
  <si>
    <t>Ô tô tự đổ 22T</t>
  </si>
  <si>
    <t>Lương nhân công bốc dỡ:</t>
  </si>
  <si>
    <t>BẢNG TỔNG HỢP DỰ TOÁN GÓI THẦU THI CÔNG XÂY DỰNG</t>
  </si>
  <si>
    <t>AF.15434A</t>
  </si>
  <si>
    <t>BẢNG TÍNH CƯỚC BỐC DỠ, VẬN CHUYỂN BỘ</t>
  </si>
  <si>
    <t>Dự toán gói thầu trước thuế x tỷ lệ</t>
  </si>
  <si>
    <t>Công trình công nghiệp</t>
  </si>
  <si>
    <t>LangSon_2024XD_DG1842: LangSon_2024TNVL_DG1842: LangSon_2024SC_DG1842: LangSon_2024LD_DG1842: LangSon_2024KS_DG1842: DinhMuc_2021XD_DM12_PCB30: DinhMuc_2021XD_DM12: DinhMuc_2021TNVL_DM12: DinhMuc_2021SC_DM12_PCB30: DinhMuc_2021SC_DM12: DinhMuc_2021LDM_DM12: DinhMuc_2021LD_DM12: DinhMuc_2021KS_DM12</t>
  </si>
  <si>
    <t>5. Thanh toán thu hồi tạm ứng:</t>
  </si>
  <si>
    <t>- Định mức dự toán xây dựng công trình phần xây dựng (sửa đổi và bổ sung) công bố kèm theo Quyết định số 588/QĐ-BXD ngày 29/05/2014 của Bộ xây dựng.</t>
  </si>
  <si>
    <t>(Ký, ghi rõ họ tên, chức vụ, đóng dấu)</t>
  </si>
  <si>
    <t>BẢNG ĐƠN GIÁ TỔNG HỢP</t>
  </si>
  <si>
    <t>Lái xe bậc 3/4 - Nhóm 4</t>
  </si>
  <si>
    <t>Cự ly</t>
  </si>
  <si>
    <t>- Định mức dự toán xây dựng công trình phần lắp đặt (sửa đổi và bổ sung) công bố kèm theo Quyết định số 587/QĐ-BXD ngày 29/05/2014 của Bộ xây dựng.</t>
  </si>
  <si>
    <t>Gxd.1</t>
  </si>
  <si>
    <t>Giá trị KLHT đề nghị thanh toán kỳ này</t>
  </si>
  <si>
    <t>Chi phí xây dựng nhà tạm tại hiện trường để ở và Điều hành thi công tại hiện trường</t>
  </si>
  <si>
    <t>2.2.5</t>
  </si>
  <si>
    <t>Tổng mức đầu tư dự án (tỷ đồng)</t>
  </si>
  <si>
    <t>Hệ số điềuchỉnh</t>
  </si>
  <si>
    <t>TTTK75$</t>
  </si>
  <si>
    <t>Năm 202..</t>
  </si>
  <si>
    <t>Nhân công bậc 4,0/7 - Nhóm 2</t>
  </si>
  <si>
    <t>Năm 2019</t>
  </si>
  <si>
    <t>ĐƠN VỊ LẬP</t>
  </si>
  <si>
    <t>CNT</t>
  </si>
  <si>
    <t>Tên dự án:                                                                  Mã dự án:</t>
  </si>
  <si>
    <t>Mã CV</t>
  </si>
  <si>
    <t>Nhân công bậc 5,0/7 - Nhóm 4</t>
  </si>
  <si>
    <t>7. Luỹ kế giá trị thanh toán:</t>
  </si>
  <si>
    <t>Khối lượng đơn vị (Tấn)</t>
  </si>
  <si>
    <t>Gbcnckt</t>
  </si>
  <si>
    <t>3. Luỹ kế giá trị khối lượng thực hiện đến hết kỳ này:</t>
  </si>
  <si>
    <t>Tên dự án: ĐƯỜNG BÊ TÔNG TUYẾN ĐƯỜNG LÀNG BÊN - LÀNG QUE, XÃ HỮU LIÊN, TỈNH LẠNG SƠN</t>
  </si>
  <si>
    <t>AB.56412</t>
  </si>
  <si>
    <t>Định mức &gt;60km</t>
  </si>
  <si>
    <t>Cự ly &gt;60km</t>
  </si>
  <si>
    <t>Tên gói thầu:</t>
  </si>
  <si>
    <t>Phục cấp khu vực</t>
  </si>
  <si>
    <t>cấu kiện bê tông, trọng lượng nhỏ hơn 200kg</t>
  </si>
  <si>
    <t>Que hàn</t>
  </si>
  <si>
    <t>PCCC258^</t>
  </si>
  <si>
    <t>Bậc 4</t>
  </si>
  <si>
    <t>Năm 2018</t>
  </si>
  <si>
    <t>5</t>
  </si>
  <si>
    <t>Thực hiện</t>
  </si>
  <si>
    <t>Chi phí xây dựng</t>
  </si>
  <si>
    <t>AB.41123.VD</t>
  </si>
  <si>
    <t>Xúc đá tảng, cục bê tông lên phương tiện vận chuyển bằng máy đào 3,6m3, ĐK 0,4÷1m</t>
  </si>
  <si>
    <t>2.4</t>
  </si>
  <si>
    <t>- Định mức dự toán xây dựng công trình phần xây dựng (sửa đổi và bổ sung) công bố kèm theo Quyết định số 235/QĐ-BXD ngày 04/04/2017 của Bộ xây dựng.</t>
  </si>
  <si>
    <t>Bảng số 17: Định mức chi phí thẩm tra thiết kế xây dựng</t>
  </si>
  <si>
    <t>BẢNG TỔNG HỢP MÁY</t>
  </si>
  <si>
    <t>(b1+b2)/2</t>
  </si>
  <si>
    <t>Gdp</t>
  </si>
  <si>
    <t>Nhà thầu (đơn vị thực hiện trong trường hợp thực hiện không thông qua hợp đồng):</t>
  </si>
  <si>
    <t>Cấp II</t>
  </si>
  <si>
    <t>BẢNG GIÁ CA MÁY</t>
  </si>
  <si>
    <t>CÔNG TY CỔ PHẦN TIN HỌC ETA</t>
  </si>
  <si>
    <t>AM.2453</t>
  </si>
  <si>
    <t>AM.2442</t>
  </si>
  <si>
    <t>4.3.4</t>
  </si>
  <si>
    <t>KLHT lũy kế đến hết kỳ này</t>
  </si>
  <si>
    <t>4</t>
  </si>
  <si>
    <t>PCCC258$</t>
  </si>
  <si>
    <t>4. Luỹ kế giá trị khối lượng thực hiện đến cuối kỳ này:</t>
  </si>
  <si>
    <t>Xi măng PCB30</t>
  </si>
  <si>
    <t>Giá HT</t>
  </si>
  <si>
    <t>Chỉ tiêu</t>
  </si>
  <si>
    <t>AM.2463</t>
  </si>
  <si>
    <t>AM.2452</t>
  </si>
  <si>
    <t>AM.2441</t>
  </si>
  <si>
    <t>TỔNG CỘNG</t>
  </si>
  <si>
    <t>M106.0109</t>
  </si>
  <si>
    <t>Loại 6</t>
  </si>
  <si>
    <t>VII</t>
  </si>
  <si>
    <t>AD.11212.VD</t>
  </si>
  <si>
    <t>a2/a1</t>
  </si>
  <si>
    <t>M0934</t>
  </si>
  <si>
    <t>Đá Base B</t>
  </si>
  <si>
    <t>517*3,5*0,2 = 361,9</t>
  </si>
  <si>
    <t>BẢNG TỔNG HỢP NHÂN CÔNG LÁI MÁY</t>
  </si>
  <si>
    <t>Tỷ lệ %</t>
  </si>
  <si>
    <t>- Quyết định số 1134/QĐ-BXD  ngày 08/10/2015 của Bộ Xây dựng về việc công bố định mức các hao phí xác định giá ca máy và thiết bị thi công xây dựng.</t>
  </si>
  <si>
    <t>Vốn còn lại kế hoạch năm trước</t>
  </si>
  <si>
    <t>Đơn vị: đồng</t>
  </si>
  <si>
    <t>CHI PHÍ TRỰC TIẾP</t>
  </si>
  <si>
    <t>Giá cước (đ/Tấn)</t>
  </si>
  <si>
    <t>Quy định về quyết toán dự án hoàn thành thuộc nguồn vốn Nhà nước</t>
  </si>
  <si>
    <t>Chi phí thiết kế bản vẽ thi công</t>
  </si>
  <si>
    <t>(Ban hành kèm theo Thông tư số: 08/2016/TT-BTC ngày 18 tháng 01 năm 2016 của Bộ Tài chính)</t>
  </si>
  <si>
    <t>Tổng cự ly</t>
  </si>
  <si>
    <t>THM</t>
  </si>
  <si>
    <t>cọc, cọc bê tông</t>
  </si>
  <si>
    <t>III</t>
  </si>
  <si>
    <t>State</t>
  </si>
  <si>
    <t>Tre, cây chống</t>
  </si>
  <si>
    <t>Loại 5</t>
  </si>
  <si>
    <t>M1598</t>
  </si>
  <si>
    <t>đá dăm</t>
  </si>
  <si>
    <t>Hợp đồng số:      ngày      tháng      năm</t>
  </si>
  <si>
    <t>Tổng số vốn theo kế hoạch còn lại chưa thanh toán</t>
  </si>
  <si>
    <t>hsnc</t>
  </si>
  <si>
    <t xml:space="preserve"> - Máy theo đơn giá</t>
  </si>
  <si>
    <t>Gạch xây các loại</t>
  </si>
  <si>
    <t>BẢNG TỔNG HỢP GIÁ DỰ THẦU</t>
  </si>
  <si>
    <t>CKKL</t>
  </si>
  <si>
    <t>I.)</t>
  </si>
  <si>
    <t>Không ổn định SX</t>
  </si>
  <si>
    <t>Hình thức VC</t>
  </si>
  <si>
    <t>Hạng mục 1</t>
  </si>
  <si>
    <t>3.2.5</t>
  </si>
  <si>
    <t>ĐỊA ĐIỂM:</t>
  </si>
  <si>
    <t>Bảng số 23: Định mức chi phí giám sát lắp đặt thiết bị</t>
  </si>
  <si>
    <t>Gthamtra</t>
  </si>
  <si>
    <t>1.3.5</t>
  </si>
  <si>
    <t>gạch ốp lát các loại</t>
  </si>
  <si>
    <t>Gtv1 x trước thuế x tỷ lệ</t>
  </si>
  <si>
    <t>Theo hợp đồng</t>
  </si>
  <si>
    <t>C1</t>
  </si>
  <si>
    <t>VI</t>
  </si>
  <si>
    <t>AM.2413</t>
  </si>
  <si>
    <t>M1348</t>
  </si>
  <si>
    <t>(Gtv21 + Gtv31) x trước thuế x tỷ lệ</t>
  </si>
  <si>
    <t xml:space="preserve"> NỀN ĐƯỜNG</t>
  </si>
  <si>
    <t>Ô tô vận tải thùng 20T</t>
  </si>
  <si>
    <t>HS quy đổi đơn vị</t>
  </si>
  <si>
    <t>Chi phí thẩm tra Báo cáo kinh tế - kỹ thuật, phần dự toán</t>
  </si>
  <si>
    <t>hs riêng nhân công</t>
  </si>
  <si>
    <t>Ngói các loại</t>
  </si>
  <si>
    <t>Gdp1</t>
  </si>
  <si>
    <t>NLX424</t>
  </si>
  <si>
    <t>KÝ HIỆU</t>
  </si>
  <si>
    <t>m2</t>
  </si>
  <si>
    <t>Cọc gỗ, cừ tràm</t>
  </si>
  <si>
    <t>Kế toán trưởng</t>
  </si>
  <si>
    <t>Thanh toán lần thứ: ...</t>
  </si>
  <si>
    <t>E</t>
  </si>
  <si>
    <t>Quy định mức thu, chế độ thu, nộp, quản lý và sử dụng phí thẩm định thiết kế kỹ thuật, phí thẩm định dự toán xây dựng</t>
  </si>
  <si>
    <t>Đào nền đường bằng máy đào 0,4m3 - Cấp đất III (Bổ sung TT09/2024). Đào hạ nền đường trung bình 50cm, dài 50m</t>
  </si>
  <si>
    <t>Chi phí khảo sát</t>
  </si>
  <si>
    <t>(Tổng mức đầu tư - Dự phòng) x tỷ lệ</t>
  </si>
  <si>
    <t>ngói các loại</t>
  </si>
  <si>
    <t>Gttbcnctkt</t>
  </si>
  <si>
    <t>AM.2613</t>
  </si>
  <si>
    <t>Hệ số lán trại, nhà tạm</t>
  </si>
  <si>
    <t>ĐƯỜNG BÊ TÔNG TUYẾN ĐƯỜNG LÀNG BÊN - LÀNG QUE, XÃ HỮU LIÊN, TỈNH LẠNG SƠN</t>
  </si>
  <si>
    <t>ca</t>
  </si>
  <si>
    <t>Glhsmqt79</t>
  </si>
  <si>
    <t>85*0,16*3 = 40,8</t>
  </si>
  <si>
    <t>Chi phí lập báo cáo kinh tế - kỹ thuật</t>
  </si>
  <si>
    <t>Định mức chi phí kiểm toán độc lập Thông tư 10/2020/TT-BTC ngày 20 tháng 02 năm 2020</t>
  </si>
  <si>
    <t>Chi phí thẩm tra tính hiệu quả và tính khả thi của dự án đầu tư</t>
  </si>
  <si>
    <t>Tỷ lệ</t>
  </si>
  <si>
    <t>5.3.4</t>
  </si>
  <si>
    <t>Mã NC</t>
  </si>
  <si>
    <t>Cấp 1</t>
  </si>
  <si>
    <t>ĐƯỜNG BÊ TÔNG XI MĂNG CẤP A</t>
  </si>
  <si>
    <t>QLDA79^</t>
  </si>
  <si>
    <t>Định mức bốc xuống</t>
  </si>
  <si>
    <t>V06415</t>
  </si>
  <si>
    <t>Chi phí khác (đ)</t>
  </si>
  <si>
    <t>- Định mức dự toán xây dựng công trình phần lắp đặt công bố kèm theo văn bản số 1777/BXD-VP ngày 16/8/2007 của Bộ xây dựng.</t>
  </si>
  <si>
    <t>+ Tiền bảo hành công trình (trong trường hợp không bảo lãnh bảo hành công trình)</t>
  </si>
  <si>
    <t>Ô tô tự đổ 12T</t>
  </si>
  <si>
    <t>V01829</t>
  </si>
  <si>
    <t>Gbcktkt</t>
  </si>
  <si>
    <t>Định mức &lt;=60km</t>
  </si>
  <si>
    <t>VT</t>
  </si>
  <si>
    <t>- Định mức dự toán công tác sửa chữa công trình xây dựng công bố kèm theo Quyết định số 1149/QĐ-BXD ngày 09/11/2017 của Bộ xây dựng.</t>
  </si>
  <si>
    <t>N2407</t>
  </si>
  <si>
    <t>Thủ trưởng đơn vị</t>
  </si>
  <si>
    <t>T + GT + TL</t>
  </si>
  <si>
    <t>- Vốn ngoài nước………… ..tại………………………...........................</t>
  </si>
  <si>
    <t>Vận chuyển đất bằng ô tô tự đổ 7T, phạm vi ≤300m - Cấp đất III</t>
  </si>
  <si>
    <t>AD.11222.VD</t>
  </si>
  <si>
    <t>ĐV Tính</t>
  </si>
  <si>
    <t>CHỦ ĐẦU TƯ/BAN QUẢN LÝ DỰ ÁN/ĐƠN VỊ, TỔ CHỨC LÀM NHIỆM VỤ</t>
  </si>
  <si>
    <t>TỔNG DỰ PHÒNG DO TRƯỢT GIÁ</t>
  </si>
  <si>
    <t>đá hộc</t>
  </si>
  <si>
    <t>GIÁ TRỊ SAU THUẾ</t>
  </si>
  <si>
    <t>QLDA79$</t>
  </si>
  <si>
    <t xml:space="preserve">0,019 </t>
  </si>
  <si>
    <t>d2 x e2</t>
  </si>
  <si>
    <t xml:space="preserve">(Áp dụng đối với các khoản thanh toán vốn đầu tư thuộc nguồn vốn ngân sách nhà nước, vốn ngoài nước - Theo Nghị định 11/2020/NĐ-CP ngày 20/01/2020) </t>
  </si>
  <si>
    <t>Bù NG</t>
  </si>
  <si>
    <t>Chi phí đảm bảo cho việc tổ chức thực hiện bồi thường, hỗ trợ, tái định cư</t>
  </si>
  <si>
    <t>6. Luỹ kế giá trị giải ngân: ..., trong đó:</t>
  </si>
  <si>
    <t>Giá TB</t>
  </si>
  <si>
    <t>- Nghị định 146/2017/NĐ-CP sửa đổi Nghị định 100/2016/NĐ-CP và Nghị định 12/2015/NĐ-CP về thuế GTGT, thuế TNDN.</t>
  </si>
  <si>
    <t>0,090</t>
  </si>
  <si>
    <t>Chi phí xây dựng sau thuế</t>
  </si>
  <si>
    <t>1.5</t>
  </si>
  <si>
    <t>Hội đồng đền bù GPMB</t>
  </si>
  <si>
    <t>hsTLTTT</t>
  </si>
  <si>
    <t>BẢNG TÍNH GIÁ NHÂN CÔNG</t>
  </si>
  <si>
    <t>Máy khác</t>
  </si>
  <si>
    <t>Hệ số bù giá máy</t>
  </si>
  <si>
    <t>STT</t>
  </si>
  <si>
    <t>VL + NC + M</t>
  </si>
  <si>
    <t>Bảng số 5-14: Định mức chi phí thiết kế kỹ thuật cho các loại công trình</t>
  </si>
  <si>
    <t>b2</t>
  </si>
  <si>
    <t>Máy lu rung tự hành 25T</t>
  </si>
  <si>
    <t>Định mức %</t>
  </si>
  <si>
    <t>a1</t>
  </si>
  <si>
    <t>LoaiCongTrinh</t>
  </si>
  <si>
    <t>AB.31113</t>
  </si>
  <si>
    <t>Tên vật tư</t>
  </si>
  <si>
    <t>4.2.5</t>
  </si>
  <si>
    <t>Bảng số 18: Định mức Chi phí thẩm tra dự toán công trình</t>
  </si>
  <si>
    <t>hs vật liệu phụ</t>
  </si>
  <si>
    <t>Đại diện chủ đầu tư</t>
  </si>
  <si>
    <t>2.3.5</t>
  </si>
  <si>
    <t xml:space="preserve">    2.3. Chuyển vào tài khoản tạm giữ chờ quyết toán:</t>
  </si>
  <si>
    <t>Giá trị KLHT chưa thanh toán đến hết kỳ này</t>
  </si>
  <si>
    <t xml:space="preserve">0,013 </t>
  </si>
  <si>
    <t>M0667</t>
  </si>
  <si>
    <t>1.4</t>
  </si>
  <si>
    <t>Theo Thông tư số 209/2016/TT-BTC ngày 10/11/2016 của Bộ Tài chính</t>
  </si>
  <si>
    <t>Lương tối thiểu vùng</t>
  </si>
  <si>
    <t>Chi phí lập hồ sơ mời thầu, đánh giá hồ sơ dự thầu mua sắm thiết bị</t>
  </si>
  <si>
    <t>Ggsks</t>
  </si>
  <si>
    <t>Chủ đầu tư:</t>
  </si>
  <si>
    <t>- Nghị định 32/2015/NĐ-CP ngày 25/03/2015 của Chính phủ về quản lý chi phí đầu tư xây dựng.</t>
  </si>
  <si>
    <t>Gdpxd1</t>
  </si>
  <si>
    <t>0,030</t>
  </si>
  <si>
    <t>Vât liệu khác</t>
  </si>
  <si>
    <t>Cách thẩm định:</t>
  </si>
  <si>
    <t>3.5</t>
  </si>
  <si>
    <t>THUẾ GTGT</t>
  </si>
  <si>
    <t>AM.2353</t>
  </si>
  <si>
    <t>b1</t>
  </si>
  <si>
    <t>Chi phí xây dựng nhà tạm tại hiện trường để ở và điều hành thi công</t>
  </si>
  <si>
    <t>AM.2342</t>
  </si>
  <si>
    <t>Cước nâng hạ (đ/tấn)</t>
  </si>
  <si>
    <t>1.2.1</t>
  </si>
  <si>
    <t>4.2.4</t>
  </si>
  <si>
    <t>CÔNG TRÌNH: Công trình 1</t>
  </si>
  <si>
    <t>Thành tiền bốc lên</t>
  </si>
  <si>
    <t>- Nhiên liệu</t>
  </si>
  <si>
    <t xml:space="preserve">0,014 </t>
  </si>
  <si>
    <t>Chi phí các hạng Mục chung còn lại</t>
  </si>
  <si>
    <t>1. Phí thẩm định thiết kế kỹ thuật</t>
  </si>
  <si>
    <t>Công việc A</t>
  </si>
  <si>
    <t>M106.0204</t>
  </si>
  <si>
    <t>Chi phí xây dựng và chi phí thiết bị (chưa có thuế GTGT) (tỷ đồng)</t>
  </si>
  <si>
    <t>0,051</t>
  </si>
  <si>
    <t>Vật liệu</t>
  </si>
  <si>
    <t>Tên CK</t>
  </si>
  <si>
    <t>- Chi phí một số công tác không xác định được khối lượng từ thiết kế</t>
  </si>
  <si>
    <t>NGƯỜI CHỦ TRÌ</t>
  </si>
  <si>
    <t>CÔNG TRÌNH:</t>
  </si>
  <si>
    <t>vận chuyển đất sạt lở ta luy đồi bằng ô tô</t>
  </si>
  <si>
    <t>KLHT chưa thanh toán đến hết kỳ trước</t>
  </si>
  <si>
    <t>3.4</t>
  </si>
  <si>
    <t>Kính gửi: Kho bạc nhà nước ………………………..</t>
  </si>
  <si>
    <t>GSKS79^</t>
  </si>
  <si>
    <t>Chi phí lập hồ sơ mời quan tâm, hồ sơ mời sơ tuyển được tính bằng 0,05% giá gói thầu nhưng tối thiểu là 1.000.000 đồng và tối đa là 30.000.000 đồng</t>
  </si>
  <si>
    <t>Phá dỡ kết cấu bê tông không cốt thép bằng búa căn. (Bê tông mặt đường cũ)</t>
  </si>
  <si>
    <t>Loại phương tiện</t>
  </si>
  <si>
    <t>Định mức &lt;=1km</t>
  </si>
  <si>
    <t>Chủ đầu tư: ...</t>
  </si>
  <si>
    <t>Gdghsdt</t>
  </si>
  <si>
    <t>SA.12112</t>
  </si>
  <si>
    <t>hs phụ cấp khu vực nhân công</t>
  </si>
  <si>
    <t>Chủ đầu tư/Ban QLDA…………………mã số ĐVSDNS:….……………………………………………………………</t>
  </si>
  <si>
    <t>[3]</t>
  </si>
  <si>
    <t>Số liệu tính giá NC</t>
  </si>
  <si>
    <t>TTDT210^</t>
  </si>
  <si>
    <t>- Một số tài liệu khác có liên quan.</t>
  </si>
  <si>
    <t>M0639</t>
  </si>
  <si>
    <t>Hệ số phụ cấp thu hút</t>
  </si>
  <si>
    <t>0,035</t>
  </si>
  <si>
    <t>GXD</t>
  </si>
  <si>
    <t>Theo Thông tư số 19/2011/TT- BTC ngày 14 tháng 02 năm 2011 của Bộ Tài chính</t>
  </si>
  <si>
    <t>0,024</t>
  </si>
  <si>
    <t>Giá trị hợp đồng/dự toán</t>
  </si>
  <si>
    <t>Quy định mức thu, chế độ thu, nộp, quản lý và sử dụng phí thẩm định dự án đầu tư xây dựng, phí thẩm định thiết kế cơ sở</t>
  </si>
  <si>
    <t>0,013</t>
  </si>
  <si>
    <t>- Nhân công lái máy</t>
  </si>
  <si>
    <t>Luỹ kế số vốn đã thanh toán từ khởi công đến cuối kỳ trước</t>
  </si>
  <si>
    <t>CHỈ SỐ TRƯỢT GIÁ TỪNG NĂM</t>
  </si>
  <si>
    <t>GSKS79$</t>
  </si>
  <si>
    <t>AM.2314</t>
  </si>
  <si>
    <t>HẠNG MỤC:  ĐƯỜNG BÊ TÔNG XI MĂNG CẤP A</t>
  </si>
  <si>
    <t>Thanh toán lần thứ:</t>
  </si>
  <si>
    <t>Xuất ra từ phiên bản</t>
  </si>
  <si>
    <t>&lt;= 10</t>
  </si>
  <si>
    <t>[4]</t>
  </si>
  <si>
    <t>Cự ly &lt;=10km</t>
  </si>
  <si>
    <t>Hệ số điều chỉnh</t>
  </si>
  <si>
    <t>TTDT210$</t>
  </si>
  <si>
    <t>14</t>
  </si>
  <si>
    <t>Độc hại</t>
  </si>
  <si>
    <t>CK</t>
  </si>
  <si>
    <t>GGTXD (Dự toán gói thầu)</t>
  </si>
  <si>
    <t>CỦA TOÀN BỘ CÔNG TRÌNH</t>
  </si>
  <si>
    <t>BẢNG XÁC ĐỊNH GIÁ TRỊ KHỐI LƯỢNG CÔNG VIỆC PHÁT SINH NGOÀI HỢP ĐỒNG ĐỀ NGHỊ THANH TOÁN</t>
  </si>
  <si>
    <t>KLHT đã thanh toán đến hết kỳ trước</t>
  </si>
  <si>
    <t>BẢNG PHÂN TÍCH VẬT TƯ</t>
  </si>
  <si>
    <t>Phương tiện</t>
  </si>
  <si>
    <t>Bảng số 15: Định mức chi phí thẩm tra báo cáo nghiên cứu tiền khả thi</t>
  </si>
  <si>
    <t>Quy định mức thu, chế độ thu, nộp, quản lý và sử dụng phí thẩm tra thiết kế công trình xây dựng</t>
  </si>
  <si>
    <t>85*0,16*3*1,3/100 = 0,5304</t>
  </si>
  <si>
    <t>- Thanh toán khối lượng hoàn thành: ...</t>
  </si>
  <si>
    <t>TTQT$</t>
  </si>
  <si>
    <t>lít</t>
  </si>
  <si>
    <t xml:space="preserve">Chi phí thi tuyển thiết kế kiến trúc </t>
  </si>
  <si>
    <t>Số, ngày,_x000D_
tháng, năm</t>
  </si>
  <si>
    <t>CỘNG HÒA XÃ HỘI CHỦ NGHĨA VIỆT NAM</t>
  </si>
  <si>
    <t>Gtb x trước thuế x tỷ lệ</t>
  </si>
  <si>
    <t>0,029</t>
  </si>
  <si>
    <t>Gktruc</t>
  </si>
  <si>
    <t>0,018</t>
  </si>
  <si>
    <t>cọc</t>
  </si>
  <si>
    <t>0,007</t>
  </si>
  <si>
    <t>Phụ lục số 3: Phí thẩm tra thiết kế xây dựng công trình sử dụng nguồn vốn khác</t>
  </si>
  <si>
    <t>Chi phí cho Hội đồng tư vấn giải quyết kiến nghị của nhà thầu về kết quả</t>
  </si>
  <si>
    <t>BẢNG KÊ XÁC NHẬN KHỐI LƯỢNG  CÔNG VIỆC BỒI THƯỜNG, HỖ TRỢ VÀ TÁI ĐỊNH CƯ ĐÃ THỰC HIỆN</t>
  </si>
  <si>
    <t>Hệ số không ổn định SX</t>
  </si>
  <si>
    <t>Chi phí bồi thường giải phóng mặt bằng, tái định cư (Ggpmb):</t>
  </si>
  <si>
    <t>Giá gốc</t>
  </si>
  <si>
    <t>5.2.5</t>
  </si>
  <si>
    <t>Đơn vị</t>
  </si>
  <si>
    <t>3.3.5</t>
  </si>
  <si>
    <t>&lt;= 15</t>
  </si>
  <si>
    <t>Loại thiết kế</t>
  </si>
  <si>
    <t>CÔNG TRÌNH</t>
  </si>
  <si>
    <t>Năm 2020</t>
  </si>
  <si>
    <t>(Gxd+Gtb) x trước thuế x tỷ lệ</t>
  </si>
  <si>
    <t>ĐẠI DIỆN NHÀ THẦU (ĐƠN VỊ THỰC HIỆN)</t>
  </si>
  <si>
    <t>Hao hụt</t>
  </si>
  <si>
    <t>BẢNG TỔNG HỢP KINH PHÍ HẠNG MỤC</t>
  </si>
  <si>
    <t>(Gxd + Ghmc) x 5%</t>
  </si>
  <si>
    <t>Máy lu bánh thép 10T</t>
  </si>
  <si>
    <t>Cần cẩu bánh hơi 6T</t>
  </si>
  <si>
    <t>Khoán trực tiếp</t>
  </si>
  <si>
    <t>Tên công việc</t>
  </si>
  <si>
    <t>GGTXD</t>
  </si>
  <si>
    <t>Trong đó:</t>
  </si>
  <si>
    <t>Chi phí thẩm tra thiết kế công nghệ</t>
  </si>
  <si>
    <t>Bảng số 1: Định mức chi phí quản lý dự án</t>
  </si>
  <si>
    <t>Vốn NN</t>
  </si>
  <si>
    <t>Số:…</t>
  </si>
  <si>
    <t>- Nghị định số 72/2018/NĐ-CP ngày 01/07/2018 của Chính phủ quy định mức lương cơ sở đối với cán bộ, công chức, viên chức và lực lượng vũ trang</t>
  </si>
  <si>
    <t>2.2.1</t>
  </si>
  <si>
    <t>5.2.4</t>
  </si>
  <si>
    <t>BD</t>
  </si>
  <si>
    <t>BẢNG TỔNG HỢP DỰ TOÁN CHI PHÍ ĐẦU TƯ XÂY DỰNG CÔNG TRÌNH</t>
  </si>
  <si>
    <t xml:space="preserve">Tỷ lệ VAT: </t>
  </si>
  <si>
    <t>*</t>
  </si>
  <si>
    <t>PHƯƠNG ÁN 2</t>
  </si>
  <si>
    <t>Lap</t>
  </si>
  <si>
    <t>CHI PHÍ XÂY DỰNG</t>
  </si>
  <si>
    <t>Gxd1</t>
  </si>
  <si>
    <t>Theo bảng tính</t>
  </si>
  <si>
    <t>CHI PHÍ QUẢN LÝ DỰ ÁN</t>
  </si>
  <si>
    <t>CHI PHÍ KHÁC</t>
  </si>
  <si>
    <t>GK</t>
  </si>
  <si>
    <t xml:space="preserve">Phí thẩm định hồ sơ xây dựng </t>
  </si>
  <si>
    <t>ĐT2</t>
  </si>
  <si>
    <t>Phòng kinh tế hỗ trợ</t>
  </si>
  <si>
    <t>Chi phí thẩm định Quyết toán</t>
  </si>
  <si>
    <t>CHI PHÍ DỰ PHÒNG</t>
  </si>
  <si>
    <t>Tạm tính</t>
  </si>
  <si>
    <t>Gxdct</t>
  </si>
  <si>
    <t>TỔNG DỰ TOÁN XD CÔNG TRÌNH</t>
  </si>
  <si>
    <t>Gxd+Gqlda + Gk+ Gdp</t>
  </si>
  <si>
    <t>(Bằng chữ: Một tỷ, hai trăm năm mươi triệu đồng chẵn )</t>
  </si>
  <si>
    <t>TEN</t>
  </si>
  <si>
    <t>KT</t>
  </si>
  <si>
    <t>BẢNG TÍNH CHI PHÍ KHÁC</t>
  </si>
  <si>
    <t>Định mức chi phí quản lý dự án và tư vấn đầu tư xây dựng công trình (Kèm theo Quyết định 957/QĐ-BXD - ngày 29/09/2009 của Bộ xây dựng)</t>
  </si>
  <si>
    <t>Định mức chi phí quản lý dự án</t>
  </si>
  <si>
    <t>Chi phí xây dựng và thiết bị</t>
  </si>
  <si>
    <t>Nội suy</t>
  </si>
  <si>
    <t>Công trình thủy lợi</t>
  </si>
  <si>
    <t>Định mức chi phí lập dự án</t>
  </si>
  <si>
    <t>Định mức lập báo cáo KTKT</t>
  </si>
  <si>
    <t>Định mức chi phí thiết kế</t>
  </si>
  <si>
    <t>Hệ số
TKBVTC</t>
  </si>
  <si>
    <t>Công trình dân dụng - 3 bước - Cấp đặc biệt</t>
  </si>
  <si>
    <t>Công trình dân dụng - 3 bước - Cấp I</t>
  </si>
  <si>
    <t>Công trình dân dụng - 3 bước - Cấp II</t>
  </si>
  <si>
    <t>Công trình dân dụng - 3 bước - Cấp III</t>
  </si>
  <si>
    <t>Công trình dân dụng - 3 bước - Cấp IV</t>
  </si>
  <si>
    <t>Công trình dân dụng - 2 bước - Cấp đặc biệt</t>
  </si>
  <si>
    <t>Công trình dân dụng - 2 bước - Cấp I</t>
  </si>
  <si>
    <t>Công trình dân dụng - 2 bước - Cấp II</t>
  </si>
  <si>
    <t>Công trình dân dụng - 2 bước - Cấp III</t>
  </si>
  <si>
    <t>Công trình dân dụng - 2 bước - Cấp IV</t>
  </si>
  <si>
    <t>Công trình công nghiệp - 3 bước - Cấp đặc biệt</t>
  </si>
  <si>
    <t>Công trình công nghiệp - 3 bước - Cấp I</t>
  </si>
  <si>
    <t>Công trình công nghiệp - 3 bước - Cấp II</t>
  </si>
  <si>
    <t>Công trình công nghiệp - 3 bước - Cấp III</t>
  </si>
  <si>
    <t>Công trình công nghiệp - 3 bước - Cấp IV</t>
  </si>
  <si>
    <t>Công trình công nghiệp - 2 bước - Cấp đặc biệt</t>
  </si>
  <si>
    <t>Công trình công nghiệp - 2 bước - Cấp I</t>
  </si>
  <si>
    <t>Công trình công nghiệp - 2 bước - Cấp II</t>
  </si>
  <si>
    <t>Công trình công nghiệp - 2 bước - Cấp III</t>
  </si>
  <si>
    <t>Công trình công nghiệp - 2 bước - Cấp IV</t>
  </si>
  <si>
    <t>Công trình giao thông - 3 bước - Cấp đặc biệt</t>
  </si>
  <si>
    <t>Công trình giao thông - 3 bước - Cấp I</t>
  </si>
  <si>
    <t>Công trình giao thông - 3 bước - Cấp II</t>
  </si>
  <si>
    <t>Công trình giao thông - 3 bước - Cấp III</t>
  </si>
  <si>
    <t>Công trình giao thông - 3 bước - Cấp IV</t>
  </si>
  <si>
    <t>Công trình giao thông - 2 bước - Cấp đặc biệt</t>
  </si>
  <si>
    <t>Công trình giao thông - 2 bước - Cấp I</t>
  </si>
  <si>
    <t>Công trình giao thông - 2 bước - Cấp II</t>
  </si>
  <si>
    <t>Công trình giao thông - 2 bước - Cấp III</t>
  </si>
  <si>
    <t>Công trình giao thông - 2 bước - Cấp IV</t>
  </si>
  <si>
    <t>Công trình thủy lợi - 3 bước - Cấp đặc biệt</t>
  </si>
  <si>
    <t>Công trình thủy lợi - 3 bước - Cấp I</t>
  </si>
  <si>
    <t>Công trình thủy lợi - 3 bước - Cấp II</t>
  </si>
  <si>
    <t>Công trình thủy lợi - 3 bước - Cấp III</t>
  </si>
  <si>
    <t>Công trình thủy lợi - 3 bước - Cấp IV</t>
  </si>
  <si>
    <t>Công trình thủy lợi - 2 bước - Cấp đặc biệt</t>
  </si>
  <si>
    <t>Công trình thủy lợi - 2 bước - Cấp I</t>
  </si>
  <si>
    <t>Công trình thủy lợi - 2 bước - Cấp II</t>
  </si>
  <si>
    <t>Công trình thủy lợi - 2 bước - Cấp III</t>
  </si>
  <si>
    <t>Công trình thủy lợi - 2 bước - Cấp IV</t>
  </si>
  <si>
    <t>Công trình hạ tầng kỹ thuật - 3 bước - Cấp đặc biệt</t>
  </si>
  <si>
    <t>Công trình hạ tầng kỹ thuật - 3 bước - Cấp I</t>
  </si>
  <si>
    <t>Công trình hạ tầng kỹ thuật - 3 bước - Cấp II</t>
  </si>
  <si>
    <t>Công trình hạ tầng kỹ thuật - 3 bước - Cấp III</t>
  </si>
  <si>
    <t>Công trình hạ tầng kỹ thuật - 3 bước - Cấp IV</t>
  </si>
  <si>
    <t>Công trình hạ tầng kỹ thuật - 2 bước - Cấp đặc biệt</t>
  </si>
  <si>
    <t>Công trình hạ tầng kỹ thuật - 2 bước - Cấp I</t>
  </si>
  <si>
    <t>Công trình hạ tầng kỹ thuật - 2 bước - Cấp II</t>
  </si>
  <si>
    <t>Công trình hạ tầng kỹ thuật - 2 bước - Cấp III</t>
  </si>
  <si>
    <t>Công trình hạ tầng kỹ thuật - 2 bước - Cấp IV</t>
  </si>
  <si>
    <t>Định mức chi phí thẩm tra tính hiệu quả và tính khả thi của dự án đầu tư</t>
  </si>
  <si>
    <t>Định mức thẩm tra thiết kế kỹ thuật</t>
  </si>
  <si>
    <t>Định mức thẩm tra dự toán công trình</t>
  </si>
  <si>
    <t>Định mức chi phí lập hồ sơ mời thầu, đánh giá hồ sơ dự thầu thi công xây dựng</t>
  </si>
  <si>
    <t>Định mức chi phí lập hồ sơ mời thầu, đánh giá hồ sơ dự thầu cung cấp vật tư, thiết bị</t>
  </si>
  <si>
    <t>Định mức chi phí giám sát thi công xây dựng</t>
  </si>
  <si>
    <t>Định mức chi phí giám sát lắp đặt thiết bị</t>
  </si>
  <si>
    <t>Định mức thẩm tra - phê duyệt quyết toán (Thông tư 33/2007/TT-BTC)</t>
  </si>
  <si>
    <t>Tổng mức đầu tư (tỷ đồng)</t>
  </si>
  <si>
    <t>Thẩm tra - phê duyệt (%)</t>
  </si>
  <si>
    <t>Kiểm toán (%)</t>
  </si>
  <si>
    <t>Định mức thẩm tra - phê duyệt quyết toán (Thông tư 19/2011/TT-BTC)</t>
  </si>
  <si>
    <t xml:space="preserve">Định mức lệ phí thẩm định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</si>
</sst>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3" formatCode="_(* #,##0.00_);_(* \(#,##0.00\);_(* &quot;-&quot;??_);_(@_)"/>
    <numFmt numFmtId="164" formatCode="_(* #,##0_);_(* \(#,##0\);_(* &quot;-&quot;??_);_(@_)"/>
    <numFmt numFmtId="165" formatCode="###,###,###,##0"/>
    <numFmt numFmtId="166" formatCode="###,###,###.000"/>
    <numFmt numFmtId="167" formatCode="#,###,##0.0000"/>
    <numFmt numFmtId="168" formatCode="#,###,###,##0.0"/>
    <numFmt numFmtId="169" formatCode="###,###,##0"/>
    <numFmt numFmtId="170" formatCode="###,###,###,##0.000"/>
    <numFmt numFmtId="171" formatCode="###,###,###.0000"/>
    <numFmt numFmtId="172" formatCode="###,##0.0000"/>
    <numFmt numFmtId="173" formatCode="###,###,###,###,##0"/>
    <numFmt numFmtId="174" formatCode="##0.000%"/>
    <numFmt numFmtId="175" formatCode="###,###,##0.0000"/>
    <numFmt numFmtId="176" formatCode="##0%"/>
    <numFmt numFmtId="177" formatCode="#,###"/>
    <numFmt numFmtId="178" formatCode="##0.0"/>
    <numFmt numFmtId="179" formatCode="0.000"/>
    <numFmt numFmtId="180" formatCode="###,##0.00"/>
    <numFmt numFmtId="181" formatCode="###,###,###,###,##0.00"/>
    <numFmt numFmtId="182" formatCode="#,##0.0000;\-#,##0.0000"/>
    <numFmt numFmtId="183" formatCode="#,##0;\-#,##0"/>
    <numFmt numFmtId="184" formatCode="##0.##%"/>
    <numFmt numFmtId="185" formatCode="###,##0"/>
    <numFmt numFmtId="186" formatCode="0.0%"/>
    <numFmt numFmtId="187" formatCode="0.0000"/>
    <numFmt numFmtId="188" formatCode="0.00000"/>
    <numFmt numFmtId="189" formatCode="0.000%"/>
    <numFmt numFmtId="190" formatCode="#"/>
    <numFmt numFmtId="191" formatCode="#,##0.0000"/>
    <numFmt numFmtId="192" formatCode="#,##0;#,##0;#,##0"/>
    <numFmt numFmtId="193" formatCode="###,##0.000"/>
    <numFmt numFmtId="194" formatCode="_(* #,##0.000_);_(* \(#,##0.000\);_(* &quot;-&quot;??_);_(@_)"/>
    <numFmt numFmtId="195" formatCode="###0.0000000000;\-###0.0000000000"/>
    <numFmt numFmtId="196" formatCode="0.000%;\-0.000%"/>
    <numFmt numFmtId="197" formatCode="&quot;&lt;=&quot;\ #,##0;\(&quot;&lt;=&quot;\ #,##0\)"/>
    <numFmt numFmtId="198" formatCode="#,##0.0\ &quot;tỷ&quot;;\(#,##0.0\ &quot;tỷ&quot;\)"/>
    <numFmt numFmtId="199" formatCode="&quot;&lt;&quot;\ #,##0;\(&quot;&lt;&quot;\ #,##0\)"/>
    <numFmt numFmtId="200" formatCode="&quot;&gt;=&quot;\ #,##0;\(&quot;&gt;=&quot;\ #,##0\)"/>
    <numFmt numFmtId="201" formatCode="0.0000%;\-0.0000%"/>
  </numFmts>
  <fonts count="123" x14ac:knownFonts="1">
    <font>
      <sz val="11"/>
      <color theme="1"/>
      <name val="Calibri"/>
      <family val="2"/>
      <scheme val="minor"/>
    </font>
    <font>
      <sz val="11"/>
      <name val="Calibri"/>
      <family val="2"/>
    </font>
    <font>
      <sz val="11"/>
      <color indexed="9"/>
      <name val="Calibri"/>
      <family val="2"/>
    </font>
    <font>
      <sz val="11"/>
      <color indexed="16"/>
      <name val="Calibri"/>
      <family val="2"/>
    </font>
    <font>
      <b/>
      <sz val="11"/>
      <color indexed="53"/>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1"/>
      <color theme="10"/>
      <name val="Calibri"/>
      <family val="2"/>
      <scheme val="minor"/>
    </font>
    <font>
      <sz val="11"/>
      <color indexed="62"/>
      <name val="Calibri"/>
      <family val="2"/>
    </font>
    <font>
      <sz val="11"/>
      <color indexed="53"/>
      <name val="Calibri"/>
      <family val="2"/>
    </font>
    <font>
      <sz val="11"/>
      <color indexed="19"/>
      <name val="Calibri"/>
      <family val="2"/>
    </font>
    <font>
      <sz val="10"/>
      <name val="Arial"/>
      <family val="2"/>
    </font>
    <font>
      <b/>
      <sz val="11"/>
      <color indexed="63"/>
      <name val="Calibri"/>
      <family val="2"/>
    </font>
    <font>
      <b/>
      <sz val="18"/>
      <color indexed="62"/>
      <name val="Cambria"/>
      <family val="2"/>
    </font>
    <font>
      <b/>
      <sz val="11"/>
      <name val="Calibri"/>
      <family val="2"/>
    </font>
    <font>
      <sz val="11"/>
      <color indexed="10"/>
      <name val="Calibri"/>
      <family val="2"/>
    </font>
    <font>
      <b/>
      <sz val="12"/>
      <color theme="1"/>
      <name val="Times New Roman"/>
      <family val="2"/>
    </font>
    <font>
      <b/>
      <sz val="12"/>
      <color rgb="FFFF0000"/>
      <name val="Times New Roman"/>
      <family val="1"/>
    </font>
    <font>
      <b/>
      <sz val="11.25"/>
      <color rgb="FF0000FF"/>
      <name val="Times New Roman"/>
      <family val="1"/>
    </font>
    <font>
      <i/>
      <sz val="10.5"/>
      <name val="Times New Roman"/>
      <family val="1"/>
    </font>
    <font>
      <sz val="12"/>
      <name val="Times New Roman"/>
      <family val="1"/>
    </font>
    <font>
      <sz val="11.25"/>
      <name val="Times New Roman"/>
      <family val="1"/>
    </font>
    <font>
      <sz val="11.25"/>
      <color rgb="FF0000FF"/>
      <name val="Times New Roman"/>
      <family val="1"/>
    </font>
    <font>
      <i/>
      <sz val="14"/>
      <name val="Times New Roman"/>
      <family val="1"/>
    </font>
    <font>
      <sz val="11"/>
      <name val="Times New Roman"/>
      <family val="1"/>
    </font>
    <font>
      <b/>
      <sz val="11.25"/>
      <color theme="1"/>
      <name val="Times New Roman"/>
      <family val="2"/>
    </font>
    <font>
      <sz val="11"/>
      <color rgb="FF000000"/>
      <name val="Times New Roman"/>
      <family val="2"/>
    </font>
    <font>
      <sz val="11.25"/>
      <color theme="1"/>
      <name val="Times New Roman"/>
      <family val="2"/>
    </font>
    <font>
      <i/>
      <sz val="11"/>
      <color theme="1"/>
      <name val="Times New Roman"/>
      <family val="2"/>
    </font>
    <font>
      <b/>
      <sz val="12"/>
      <color rgb="FF0000FF"/>
      <name val="Times New Roman"/>
      <family val="1"/>
    </font>
    <font>
      <sz val="11.25"/>
      <color rgb="FF000000"/>
      <name val="Times New Roman"/>
      <family val="1"/>
    </font>
    <font>
      <b/>
      <sz val="11.25"/>
      <name val="Times New Roman"/>
      <family val="1"/>
    </font>
    <font>
      <sz val="11"/>
      <color theme="1"/>
      <name val="Times New Roman"/>
      <family val="2"/>
    </font>
    <font>
      <sz val="12"/>
      <color rgb="FF000000"/>
      <name val="Times New Roman"/>
      <family val="2"/>
    </font>
    <font>
      <i/>
      <sz val="11.25"/>
      <color rgb="FF808080"/>
      <name val="Times New Roman"/>
      <family val="1"/>
    </font>
    <font>
      <b/>
      <sz val="11"/>
      <color rgb="FF000000"/>
      <name val="Times New Roman"/>
      <family val="1"/>
    </font>
    <font>
      <b/>
      <sz val="12"/>
      <name val="Times New Roman"/>
      <family val="1"/>
    </font>
    <font>
      <b/>
      <sz val="11"/>
      <color theme="1"/>
      <name val="Times New Roman"/>
      <family val="2"/>
    </font>
    <font>
      <sz val="12"/>
      <color theme="1"/>
      <name val="Times New Roman"/>
      <family val="1"/>
    </font>
    <font>
      <sz val="11.25"/>
      <color theme="1"/>
      <name val="Calibri"/>
      <family val="2"/>
      <scheme val="minor"/>
    </font>
    <font>
      <sz val="12"/>
      <color rgb="FFFF0000"/>
      <name val="Times New Roman"/>
      <family val="1"/>
    </font>
    <font>
      <sz val="12"/>
      <color rgb="FF0000FF"/>
      <name val="Times New Roman"/>
      <family val="1"/>
    </font>
    <font>
      <b/>
      <sz val="11"/>
      <name val="Times New Roman"/>
      <family val="1"/>
    </font>
    <font>
      <sz val="14"/>
      <color rgb="FF000000"/>
      <name val="Times New Roman"/>
      <family val="2"/>
    </font>
    <font>
      <b/>
      <sz val="10"/>
      <color rgb="FF008000"/>
      <name val="Times New Roman"/>
      <family val="1"/>
    </font>
    <font>
      <i/>
      <sz val="12"/>
      <name val="Times New Roman"/>
      <family val="1"/>
    </font>
    <font>
      <b/>
      <i/>
      <sz val="14"/>
      <color rgb="FF000000"/>
      <name val="Times New Roman"/>
      <family val="2"/>
    </font>
    <font>
      <b/>
      <sz val="15"/>
      <color rgb="FF000000"/>
      <name val="Times New Roman"/>
      <family val="2"/>
    </font>
    <font>
      <sz val="11"/>
      <color rgb="FFFFFFFF"/>
      <name val="Times New Roman"/>
      <family val="1"/>
    </font>
    <font>
      <sz val="11.25"/>
      <color rgb="FF008000"/>
      <name val="Times New Roman"/>
      <family val="1"/>
    </font>
    <font>
      <b/>
      <sz val="14"/>
      <color theme="1"/>
      <name val="Times New Roman"/>
      <family val="2"/>
    </font>
    <font>
      <sz val="11.25"/>
      <color rgb="FFC0C0C0"/>
      <name val="Times New Roman"/>
      <family val="2"/>
    </font>
    <font>
      <b/>
      <sz val="11"/>
      <color rgb="FF0000FF"/>
      <name val="Times New Roman"/>
      <family val="1"/>
    </font>
    <font>
      <sz val="11.25"/>
      <color rgb="FFD3D3D3"/>
      <name val="Times New Roman"/>
      <family val="2"/>
    </font>
    <font>
      <b/>
      <sz val="11.25"/>
      <color rgb="FF000000"/>
      <name val="Times New Roman"/>
      <family val="1"/>
    </font>
    <font>
      <b/>
      <sz val="14"/>
      <name val="Times New Roman"/>
      <family val="1"/>
    </font>
    <font>
      <i/>
      <sz val="11.25"/>
      <name val="Times New Roman"/>
      <family val="1"/>
    </font>
    <font>
      <b/>
      <sz val="12"/>
      <color rgb="FF000000"/>
      <name val="Times New Roman"/>
      <family val="2"/>
    </font>
    <font>
      <b/>
      <sz val="11.25"/>
      <color rgb="FF008000"/>
      <name val="Times New Roman"/>
      <family val="1"/>
    </font>
    <font>
      <b/>
      <sz val="13"/>
      <name val="Times New Roman"/>
      <family val="1"/>
    </font>
    <font>
      <b/>
      <sz val="11.25"/>
      <color indexed="8"/>
      <name val="Times New Roman"/>
      <family val="1"/>
    </font>
    <font>
      <b/>
      <i/>
      <sz val="11"/>
      <color rgb="FF000000"/>
      <name val="Times New Roman"/>
      <family val="2"/>
    </font>
    <font>
      <sz val="11"/>
      <color indexed="23"/>
      <name val="Times New Roman"/>
      <family val="1"/>
    </font>
    <font>
      <sz val="11"/>
      <color indexed="55"/>
      <name val="Times New Roman"/>
      <family val="1"/>
    </font>
    <font>
      <sz val="10"/>
      <color rgb="FF000000"/>
      <name val="Times New Roman"/>
      <family val="1"/>
    </font>
    <font>
      <sz val="14"/>
      <name val="Times New Roman"/>
      <family val="1"/>
    </font>
    <font>
      <sz val="11"/>
      <name val="Calibri"/>
      <family val="2"/>
      <scheme val="minor"/>
    </font>
    <font>
      <sz val="11"/>
      <color rgb="FF008000"/>
      <name val="Times New Roman"/>
      <family val="1"/>
    </font>
    <font>
      <i/>
      <sz val="11"/>
      <color rgb="FF000000"/>
      <name val="Times New Roman"/>
      <family val="2"/>
    </font>
    <font>
      <b/>
      <sz val="14"/>
      <color rgb="FF000000"/>
      <name val="Times New Roman"/>
      <family val="2"/>
    </font>
    <font>
      <sz val="11"/>
      <color theme="0"/>
      <name val="Times New Roman"/>
      <family val="2"/>
    </font>
    <font>
      <sz val="11"/>
      <color theme="1"/>
      <name val="Calibri"/>
      <family val="2"/>
    </font>
    <font>
      <b/>
      <sz val="10"/>
      <color rgb="FF0000FF"/>
      <name val="Times New Roman"/>
      <family val="1"/>
    </font>
    <font>
      <i/>
      <sz val="11.25"/>
      <color theme="1"/>
      <name val="Times New Roman"/>
      <family val="2"/>
    </font>
    <font>
      <sz val="11.25"/>
      <color rgb="FFF5F5F5"/>
      <name val="Times New Roman"/>
      <family val="1"/>
    </font>
    <font>
      <i/>
      <sz val="11.25"/>
      <color rgb="FF000000"/>
      <name val="Times New Roman"/>
      <family val="2"/>
    </font>
    <font>
      <i/>
      <sz val="11"/>
      <color rgb="FF808080"/>
      <name val="Times New Roman"/>
      <family val="1"/>
    </font>
    <font>
      <sz val="11.25"/>
      <color rgb="FF800000"/>
      <name val="Times New Roman"/>
      <family val="1"/>
    </font>
    <font>
      <sz val="12"/>
      <color theme="0"/>
      <name val="Times New Roman"/>
      <family val="1"/>
    </font>
    <font>
      <sz val="11"/>
      <color indexed="12"/>
      <name val="Times New Roman"/>
      <family val="1"/>
    </font>
    <font>
      <sz val="13"/>
      <name val="Times New Roman"/>
      <family val="1"/>
    </font>
    <font>
      <i/>
      <u/>
      <sz val="11"/>
      <color indexed="12"/>
      <name val="Times New Roman"/>
      <family val="1"/>
    </font>
    <font>
      <b/>
      <sz val="11.25"/>
      <color rgb="FF00008B"/>
      <name val="Times New Roman"/>
      <family val="1"/>
    </font>
    <font>
      <i/>
      <sz val="11"/>
      <name val="Times New Roman"/>
      <family val="1"/>
    </font>
    <font>
      <sz val="11"/>
      <color rgb="FF0000FF"/>
      <name val="Times New Roman"/>
      <family val="1"/>
    </font>
    <font>
      <sz val="11"/>
      <color indexed="63"/>
      <name val="Times New Roman"/>
      <family val="1"/>
    </font>
    <font>
      <b/>
      <sz val="11.25"/>
      <color rgb="FFFF0000"/>
      <name val="Times New Roman"/>
      <family val="2"/>
    </font>
    <font>
      <b/>
      <sz val="16"/>
      <color theme="1"/>
      <name val="Times New Roman"/>
      <family val="2"/>
    </font>
    <font>
      <b/>
      <sz val="11.25"/>
      <color indexed="10"/>
      <name val="Times New Roman"/>
      <family val="1"/>
    </font>
    <font>
      <b/>
      <sz val="11"/>
      <color indexed="10"/>
      <name val="Times New Roman"/>
      <family val="1"/>
    </font>
    <font>
      <u/>
      <sz val="11.25"/>
      <color theme="10"/>
      <name val="Times New Roman"/>
      <family val="2"/>
    </font>
    <font>
      <b/>
      <sz val="10.25"/>
      <color rgb="FF0000FF"/>
      <name val="Times New Roman"/>
      <family val="2"/>
    </font>
    <font>
      <b/>
      <sz val="20"/>
      <color rgb="FF000000"/>
      <name val="Times New Roman"/>
      <family val="2"/>
    </font>
    <font>
      <sz val="11.25"/>
      <color indexed="9"/>
      <name val="Times New Roman"/>
      <family val="1"/>
    </font>
    <font>
      <b/>
      <sz val="11.25"/>
      <color rgb="FFFF0000"/>
      <name val="Times New Roman"/>
      <family val="2"/>
    </font>
    <font>
      <sz val="11"/>
      <color rgb="FF808080"/>
      <name val="Times New Roman"/>
      <family val="1"/>
    </font>
    <font>
      <b/>
      <i/>
      <sz val="12"/>
      <color indexed="8"/>
      <name val="Times New Roman"/>
      <family val="1"/>
    </font>
    <font>
      <sz val="11"/>
      <color theme="1"/>
      <name val="Calibri"/>
      <family val="2"/>
      <scheme val="minor"/>
    </font>
    <font>
      <sz val="8.5"/>
      <name val="Arial"/>
      <family val="2"/>
    </font>
    <font>
      <b/>
      <sz val="15"/>
      <name val="Times New Roman"/>
      <family val="1"/>
    </font>
    <font>
      <sz val="8.25"/>
      <name val="Microsoft Sans Serif"/>
      <family val="2"/>
    </font>
    <font>
      <i/>
      <sz val="10"/>
      <name val="Arial"/>
      <family val="2"/>
    </font>
    <font>
      <b/>
      <sz val="8.5"/>
      <name val="Arial"/>
      <family val="2"/>
    </font>
    <font>
      <sz val="14"/>
      <color indexed="10"/>
      <name val="Times New Roman"/>
      <family val="1"/>
    </font>
    <font>
      <sz val="14"/>
      <color indexed="8"/>
      <name val="Times New Roman"/>
      <family val="1"/>
    </font>
    <font>
      <sz val="14"/>
      <name val="Microsoft Sans Serif"/>
      <family val="2"/>
    </font>
    <font>
      <b/>
      <sz val="8.25"/>
      <name val="Arial"/>
      <family val="2"/>
    </font>
    <font>
      <sz val="8.25"/>
      <name val="Arial"/>
      <family val="2"/>
    </font>
    <font>
      <b/>
      <sz val="8.25"/>
      <name val="Microsoft Sans Serif"/>
      <family val="2"/>
    </font>
    <font>
      <b/>
      <i/>
      <sz val="12"/>
      <name val="Times New Roman"/>
      <family val="1"/>
    </font>
    <font>
      <sz val="12"/>
      <name val="Arial"/>
      <family val="2"/>
    </font>
    <font>
      <sz val="12"/>
      <name val=".VnTime"/>
      <family val="2"/>
    </font>
    <font>
      <sz val="12"/>
      <name val="Microsoft Sans Serif"/>
      <family val="2"/>
    </font>
    <font>
      <b/>
      <sz val="12"/>
      <name val="Arial"/>
      <family val="2"/>
    </font>
    <font>
      <sz val="6"/>
      <name val="Arial"/>
      <family val="2"/>
    </font>
    <font>
      <b/>
      <sz val="10"/>
      <name val="Arial"/>
      <family val="2"/>
    </font>
    <font>
      <b/>
      <sz val="6"/>
      <name val="Arial"/>
      <family val="2"/>
    </font>
    <font>
      <b/>
      <sz val="11"/>
      <name val="Arial"/>
      <family val="2"/>
    </font>
    <font>
      <sz val="11"/>
      <name val="Arial"/>
      <family val="2"/>
    </font>
  </fonts>
  <fills count="32">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FFC8"/>
        <bgColor indexed="64"/>
      </patternFill>
    </fill>
    <fill>
      <patternFill patternType="solid">
        <fgColor rgb="FFFFFFFF"/>
        <bgColor indexed="64"/>
      </patternFill>
    </fill>
    <fill>
      <patternFill patternType="solid">
        <fgColor rgb="FFFFFFCC"/>
        <bgColor indexed="64"/>
      </patternFill>
    </fill>
    <fill>
      <patternFill patternType="solid">
        <fgColor rgb="FFEEEEEE"/>
        <bgColor indexed="64"/>
      </patternFill>
    </fill>
    <fill>
      <patternFill patternType="solid">
        <fgColor rgb="FFFFCCCC"/>
        <bgColor indexed="64"/>
      </patternFill>
    </fill>
    <fill>
      <patternFill patternType="solid">
        <fgColor rgb="FFF5F5F5"/>
        <bgColor indexed="64"/>
      </patternFill>
    </fill>
    <fill>
      <patternFill patternType="solid">
        <fgColor rgb="FFCCECFF"/>
        <bgColor indexed="64"/>
      </patternFill>
    </fill>
    <fill>
      <patternFill patternType="solid">
        <fgColor rgb="FFDCFFDC"/>
        <bgColor indexed="64"/>
      </patternFill>
    </fill>
    <fill>
      <patternFill patternType="solid">
        <fgColor theme="0" tint="-0.14996795556505021"/>
        <bgColor indexed="64"/>
      </patternFill>
    </fill>
    <fill>
      <patternFill patternType="solid">
        <fgColor rgb="FFEFEFF2"/>
        <bgColor indexed="64"/>
      </patternFill>
    </fill>
    <fill>
      <patternFill patternType="solid">
        <fgColor rgb="FFF0EEEC"/>
        <bgColor indexed="64"/>
      </patternFill>
    </fill>
    <fill>
      <patternFill patternType="solid">
        <fgColor rgb="FFFFFF00"/>
        <bgColor indexed="64"/>
      </patternFill>
    </fill>
    <fill>
      <patternFill patternType="solid">
        <fgColor theme="8" tint="0.79998168889431442"/>
        <bgColor indexed="64"/>
      </patternFill>
    </fill>
    <fill>
      <patternFill patternType="solid">
        <fgColor rgb="FFFFFFAF"/>
        <bgColor indexed="64"/>
      </patternFill>
    </fill>
    <fill>
      <patternFill patternType="solid">
        <fgColor rgb="FFC0C0C0"/>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0"/>
      </left>
      <right/>
      <top style="thin">
        <color indexed="0"/>
      </top>
      <bottom style="thin">
        <color indexed="0"/>
      </bottom>
      <diagonal/>
    </border>
    <border>
      <left style="thin">
        <color indexed="64"/>
      </left>
      <right style="thin">
        <color indexed="64"/>
      </right>
      <top style="hair">
        <color indexed="64"/>
      </top>
      <bottom style="hair">
        <color indexed="64"/>
      </bottom>
      <diagonal/>
    </border>
    <border>
      <left style="thin">
        <color indexed="0"/>
      </left>
      <right style="thin">
        <color indexed="0"/>
      </right>
      <top/>
      <bottom/>
      <diagonal/>
    </border>
    <border>
      <left style="thin">
        <color indexed="64"/>
      </left>
      <right style="thin">
        <color indexed="64"/>
      </right>
      <top style="hair">
        <color indexed="64"/>
      </top>
      <bottom/>
      <diagonal/>
    </border>
    <border>
      <left/>
      <right style="thin">
        <color indexed="8"/>
      </right>
      <top/>
      <bottom style="hair">
        <color indexed="8"/>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0"/>
      </left>
      <right style="thin">
        <color indexed="0"/>
      </right>
      <top style="thin">
        <color indexed="0"/>
      </top>
      <bottom style="hair">
        <color indexed="0"/>
      </bottom>
      <diagonal/>
    </border>
    <border>
      <left style="thin">
        <color indexed="0"/>
      </left>
      <right style="thin">
        <color indexed="0"/>
      </right>
      <top/>
      <bottom style="thin">
        <color indexed="0"/>
      </bottom>
      <diagonal/>
    </border>
    <border>
      <left/>
      <right/>
      <top/>
      <bottom style="thin">
        <color indexed="0"/>
      </bottom>
      <diagonal/>
    </border>
    <border>
      <left style="thin">
        <color indexed="64"/>
      </left>
      <right style="thin">
        <color indexed="64"/>
      </right>
      <top/>
      <bottom style="hair">
        <color rgb="FF000000"/>
      </bottom>
      <diagonal/>
    </border>
    <border>
      <left/>
      <right/>
      <top style="thin">
        <color indexed="0"/>
      </top>
      <bottom/>
      <diagonal/>
    </border>
    <border>
      <left style="thin">
        <color indexed="0"/>
      </left>
      <right style="thin">
        <color indexed="0"/>
      </right>
      <top style="thin">
        <color indexed="0"/>
      </top>
      <bottom style="thin">
        <color indexed="0"/>
      </bottom>
      <diagonal/>
    </border>
    <border>
      <left style="thin">
        <color indexed="64"/>
      </left>
      <right/>
      <top style="thin">
        <color indexed="64"/>
      </top>
      <bottom style="thin">
        <color indexed="64"/>
      </bottom>
      <diagonal/>
    </border>
    <border>
      <left style="thin">
        <color indexed="0"/>
      </left>
      <right style="thin">
        <color indexed="0"/>
      </right>
      <top style="hair">
        <color indexed="0"/>
      </top>
      <bottom style="thin">
        <color indexed="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0"/>
      </left>
      <right/>
      <top style="thin">
        <color indexed="0"/>
      </top>
      <bottom/>
      <diagonal/>
    </border>
    <border>
      <left style="thin">
        <color indexed="64"/>
      </left>
      <right style="thin">
        <color indexed="8"/>
      </right>
      <top style="hair">
        <color indexed="8"/>
      </top>
      <bottom style="thin">
        <color indexed="64"/>
      </bottom>
      <diagonal/>
    </border>
    <border>
      <left/>
      <right/>
      <top style="thin">
        <color indexed="0"/>
      </top>
      <bottom style="thin">
        <color indexed="0"/>
      </bottom>
      <diagonal/>
    </border>
    <border>
      <left style="thin">
        <color indexed="0"/>
      </left>
      <right style="thin">
        <color indexed="0"/>
      </right>
      <top style="hair">
        <color indexed="0"/>
      </top>
      <bottom style="hair">
        <color indexed="0"/>
      </bottom>
      <diagonal/>
    </border>
    <border>
      <left style="thin">
        <color indexed="64"/>
      </left>
      <right style="thin">
        <color indexed="8"/>
      </right>
      <top/>
      <bottom style="hair">
        <color indexed="8"/>
      </bottom>
      <diagonal/>
    </border>
    <border>
      <left style="thin">
        <color indexed="64"/>
      </left>
      <right style="thin">
        <color indexed="64"/>
      </right>
      <top style="hair">
        <color indexed="64"/>
      </top>
      <bottom style="hair">
        <color rgb="FF000000"/>
      </bottom>
      <diagonal/>
    </border>
    <border>
      <left style="thin">
        <color indexed="64"/>
      </left>
      <right style="thin">
        <color indexed="64"/>
      </right>
      <top/>
      <bottom/>
      <diagonal/>
    </border>
    <border>
      <left style="thin">
        <color indexed="0"/>
      </left>
      <right/>
      <top/>
      <bottom style="thin">
        <color indexed="0"/>
      </bottom>
      <diagonal/>
    </border>
    <border>
      <left/>
      <right style="thin">
        <color indexed="8"/>
      </right>
      <top style="hair">
        <color indexed="8"/>
      </top>
      <bottom style="thin">
        <color indexed="64"/>
      </bottom>
      <diagonal/>
    </border>
    <border>
      <left style="thin">
        <color indexed="0"/>
      </left>
      <right style="thin">
        <color indexed="0"/>
      </right>
      <top style="thin">
        <color indexed="0"/>
      </top>
      <bottom/>
      <diagonal/>
    </border>
    <border>
      <left/>
      <right style="thin">
        <color indexed="0"/>
      </right>
      <top style="thin">
        <color indexed="0"/>
      </top>
      <bottom style="thin">
        <color indexed="0"/>
      </bottom>
      <diagonal/>
    </border>
    <border>
      <left/>
      <right style="thin">
        <color indexed="0"/>
      </right>
      <top style="thin">
        <color indexed="0"/>
      </top>
      <bottom/>
      <diagonal/>
    </border>
    <border>
      <left/>
      <right/>
      <top style="thin">
        <color indexed="64"/>
      </top>
      <bottom/>
      <diagonal/>
    </border>
    <border>
      <left/>
      <right style="thin">
        <color indexed="0"/>
      </right>
      <top/>
      <bottom style="thin">
        <color indexed="0"/>
      </bottom>
      <diagonal/>
    </border>
    <border>
      <left style="thin">
        <color indexed="8"/>
      </left>
      <right style="thin">
        <color indexed="8"/>
      </right>
      <top style="hair">
        <color indexed="8"/>
      </top>
      <bottom style="hair">
        <color indexed="8"/>
      </bottom>
      <diagonal/>
    </border>
    <border>
      <left/>
      <right style="medium">
        <color indexed="64"/>
      </right>
      <top/>
      <bottom style="medium">
        <color indexed="64"/>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7"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9" borderId="0" applyNumberFormat="0" applyBorder="0" applyAlignment="0" applyProtection="0"/>
    <xf numFmtId="0" fontId="3" fillId="7" borderId="0" applyNumberFormat="0" applyBorder="0" applyAlignment="0" applyProtection="0"/>
    <xf numFmtId="0" fontId="4" fillId="14" borderId="1" applyNumberFormat="0" applyAlignment="0" applyProtection="0"/>
    <xf numFmtId="0" fontId="5" fillId="12" borderId="2" applyNumberFormat="0" applyAlignment="0" applyProtection="0"/>
    <xf numFmtId="43" fontId="101" fillId="0" borderId="0" applyFont="0" applyFill="0" applyBorder="0" applyAlignment="0" applyProtection="0"/>
    <xf numFmtId="0" fontId="6" fillId="0" borderId="0" applyNumberFormat="0" applyFill="0" applyBorder="0" applyAlignment="0" applyProtection="0"/>
    <xf numFmtId="0" fontId="7" fillId="6"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15" borderId="0" applyNumberFormat="0" applyBorder="0" applyAlignment="0" applyProtection="0"/>
    <xf numFmtId="0" fontId="15" fillId="0" borderId="0"/>
    <xf numFmtId="0" fontId="101" fillId="0" borderId="0"/>
    <xf numFmtId="0" fontId="1" fillId="0" borderId="0"/>
    <xf numFmtId="0" fontId="1" fillId="3" borderId="7" applyNumberFormat="0" applyFont="0" applyAlignment="0" applyProtection="0"/>
    <xf numFmtId="0" fontId="16" fillId="14" borderId="8" applyNumberFormat="0" applyAlignment="0" applyProtection="0"/>
    <xf numFmtId="9" fontId="101"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15" fillId="0" borderId="0"/>
  </cellStyleXfs>
  <cellXfs count="1353">
    <xf numFmtId="0" fontId="0" fillId="0" borderId="0" xfId="0"/>
    <xf numFmtId="0" fontId="22" fillId="0" borderId="10" xfId="0" applyFont="1" applyBorder="1" applyAlignment="1">
      <alignment horizontal="center"/>
    </xf>
    <xf numFmtId="0" fontId="24" fillId="16" borderId="0" xfId="0" applyFont="1" applyFill="1" applyAlignment="1">
      <alignment vertical="center"/>
    </xf>
    <xf numFmtId="175" fontId="26" fillId="0" borderId="13" xfId="0" applyNumberFormat="1" applyFont="1" applyBorder="1" applyAlignment="1">
      <alignment vertical="top"/>
    </xf>
    <xf numFmtId="0" fontId="27" fillId="0" borderId="0" xfId="0" applyFont="1" applyAlignment="1">
      <alignment horizontal="center"/>
    </xf>
    <xf numFmtId="0" fontId="25" fillId="17" borderId="10" xfId="0" applyFont="1" applyFill="1" applyBorder="1"/>
    <xf numFmtId="0" fontId="28" fillId="0" borderId="0" xfId="0" applyFont="1" applyAlignment="1">
      <alignment horizontal="center"/>
    </xf>
    <xf numFmtId="170" fontId="25" fillId="18" borderId="13" xfId="0" applyNumberFormat="1" applyFont="1" applyFill="1" applyBorder="1" applyAlignment="1">
      <alignment horizontal="center" vertical="top" wrapText="1"/>
    </xf>
    <xf numFmtId="0" fontId="24" fillId="19" borderId="15" xfId="0" applyFont="1" applyFill="1" applyBorder="1" applyAlignment="1">
      <alignment horizontal="center" vertical="center"/>
    </xf>
    <xf numFmtId="183" fontId="25" fillId="0" borderId="16" xfId="0" applyNumberFormat="1" applyFont="1" applyBorder="1" applyAlignment="1" applyProtection="1">
      <alignment vertical="top" wrapText="1"/>
      <protection locked="0"/>
    </xf>
    <xf numFmtId="0" fontId="22" fillId="20" borderId="10" xfId="0" applyFont="1" applyFill="1" applyBorder="1" applyAlignment="1">
      <alignment vertical="top"/>
    </xf>
    <xf numFmtId="191" fontId="30" fillId="0" borderId="17" xfId="0" applyNumberFormat="1" applyFont="1" applyBorder="1" applyAlignment="1">
      <alignment horizontal="right" vertical="top" wrapText="1"/>
    </xf>
    <xf numFmtId="9" fontId="25" fillId="17" borderId="10" xfId="0" applyNumberFormat="1" applyFont="1" applyFill="1" applyBorder="1"/>
    <xf numFmtId="0" fontId="21" fillId="21" borderId="10" xfId="0" applyFont="1" applyFill="1" applyBorder="1" applyAlignment="1">
      <alignment horizontal="center"/>
    </xf>
    <xf numFmtId="165" fontId="22" fillId="18" borderId="10" xfId="0" applyNumberFormat="1" applyFont="1" applyFill="1" applyBorder="1"/>
    <xf numFmtId="0" fontId="25" fillId="22" borderId="0" xfId="0" applyFont="1" applyFill="1"/>
    <xf numFmtId="0" fontId="22" fillId="0" borderId="13" xfId="0" applyFont="1" applyBorder="1" applyAlignment="1">
      <alignment horizontal="center"/>
    </xf>
    <xf numFmtId="0" fontId="28" fillId="0" borderId="15" xfId="0" applyFont="1" applyBorder="1" applyAlignment="1">
      <alignment horizontal="center"/>
    </xf>
    <xf numFmtId="0" fontId="24" fillId="16" borderId="13" xfId="0" applyFont="1" applyFill="1" applyBorder="1" applyAlignment="1">
      <alignment vertical="center"/>
    </xf>
    <xf numFmtId="49" fontId="31" fillId="0" borderId="13" xfId="0" applyNumberFormat="1" applyFont="1" applyBorder="1" applyAlignment="1">
      <alignment horizontal="left"/>
    </xf>
    <xf numFmtId="0" fontId="25" fillId="14" borderId="18" xfId="0" applyFont="1" applyFill="1" applyBorder="1" applyAlignment="1">
      <alignment horizontal="center"/>
    </xf>
    <xf numFmtId="173" fontId="31" fillId="0" borderId="17" xfId="0" applyNumberFormat="1" applyFont="1" applyBorder="1" applyAlignment="1">
      <alignment vertical="top"/>
    </xf>
    <xf numFmtId="0" fontId="25" fillId="17" borderId="13" xfId="0" applyFont="1" applyFill="1" applyBorder="1"/>
    <xf numFmtId="167" fontId="34" fillId="0" borderId="16" xfId="0" applyNumberFormat="1" applyFont="1" applyBorder="1" applyAlignment="1" applyProtection="1">
      <alignment vertical="top" wrapText="1"/>
      <protection locked="0"/>
    </xf>
    <xf numFmtId="9" fontId="35" fillId="17" borderId="10" xfId="0" applyNumberFormat="1" applyFont="1" applyFill="1" applyBorder="1" applyAlignment="1">
      <alignment horizontal="center" vertical="center" wrapText="1"/>
    </xf>
    <xf numFmtId="0" fontId="36" fillId="0" borderId="10" xfId="0" applyFont="1" applyBorder="1" applyAlignment="1">
      <alignment wrapText="1"/>
    </xf>
    <xf numFmtId="167" fontId="25" fillId="18" borderId="17" xfId="0" applyNumberFormat="1" applyFont="1" applyFill="1" applyBorder="1" applyAlignment="1">
      <alignment vertical="top"/>
    </xf>
    <xf numFmtId="0" fontId="36" fillId="0" borderId="0" xfId="0" applyFont="1"/>
    <xf numFmtId="167" fontId="25" fillId="18" borderId="19" xfId="0" applyNumberFormat="1" applyFont="1" applyFill="1" applyBorder="1" applyAlignment="1">
      <alignment horizontal="center" vertical="top"/>
    </xf>
    <xf numFmtId="0" fontId="37" fillId="0" borderId="10" xfId="0" applyFont="1" applyBorder="1" applyAlignment="1">
      <alignment vertical="center" wrapText="1"/>
    </xf>
    <xf numFmtId="0" fontId="38" fillId="18" borderId="13" xfId="0" applyFont="1" applyFill="1" applyBorder="1" applyAlignment="1">
      <alignment vertical="top"/>
    </xf>
    <xf numFmtId="165" fontId="39" fillId="0" borderId="13" xfId="40" applyNumberFormat="1" applyFont="1" applyBorder="1" applyAlignment="1">
      <alignment horizontal="right"/>
    </xf>
    <xf numFmtId="0" fontId="26" fillId="18" borderId="13" xfId="0" applyFont="1" applyFill="1" applyBorder="1" applyAlignment="1">
      <alignment horizontal="right" vertical="top"/>
    </xf>
    <xf numFmtId="165" fontId="41" fillId="20" borderId="10" xfId="0" applyNumberFormat="1" applyFont="1" applyFill="1" applyBorder="1" applyAlignment="1">
      <alignment vertical="top"/>
    </xf>
    <xf numFmtId="187" fontId="42" fillId="23" borderId="10" xfId="0" applyNumberFormat="1" applyFont="1" applyFill="1" applyBorder="1" applyAlignment="1">
      <alignment horizontal="center"/>
    </xf>
    <xf numFmtId="0" fontId="25" fillId="14" borderId="13" xfId="0" applyFont="1" applyFill="1" applyBorder="1" applyAlignment="1">
      <alignment horizontal="left"/>
    </xf>
    <xf numFmtId="179" fontId="42" fillId="21" borderId="10" xfId="0" applyNumberFormat="1" applyFont="1" applyFill="1" applyBorder="1" applyAlignment="1">
      <alignment horizontal="center"/>
    </xf>
    <xf numFmtId="0" fontId="25" fillId="0" borderId="20" xfId="0" applyFont="1" applyBorder="1"/>
    <xf numFmtId="0" fontId="37" fillId="0" borderId="0" xfId="0" applyFont="1"/>
    <xf numFmtId="0" fontId="25" fillId="0" borderId="21" xfId="0" applyFont="1" applyBorder="1" applyAlignment="1">
      <alignment horizontal="center" vertical="top"/>
    </xf>
    <xf numFmtId="49" fontId="28" fillId="14" borderId="0" xfId="0" applyNumberFormat="1" applyFont="1" applyFill="1"/>
    <xf numFmtId="49" fontId="43" fillId="0" borderId="0" xfId="0" applyNumberFormat="1" applyFont="1"/>
    <xf numFmtId="178" fontId="25" fillId="17" borderId="17" xfId="0" applyNumberFormat="1" applyFont="1" applyFill="1" applyBorder="1"/>
    <xf numFmtId="0" fontId="34" fillId="0" borderId="16" xfId="0" applyFont="1" applyBorder="1" applyAlignment="1" applyProtection="1">
      <alignment vertical="top" wrapText="1"/>
      <protection locked="0"/>
    </xf>
    <xf numFmtId="2" fontId="44" fillId="19" borderId="10" xfId="0" applyNumberFormat="1" applyFont="1" applyFill="1" applyBorder="1" applyAlignment="1">
      <alignment horizontal="center"/>
    </xf>
    <xf numFmtId="0" fontId="25" fillId="18" borderId="17" xfId="0" applyFont="1" applyFill="1" applyBorder="1" applyAlignment="1">
      <alignment vertical="top"/>
    </xf>
    <xf numFmtId="0" fontId="45" fillId="16" borderId="18" xfId="0" applyFont="1" applyFill="1" applyBorder="1" applyAlignment="1">
      <alignment vertical="center"/>
    </xf>
    <xf numFmtId="0" fontId="25" fillId="18" borderId="19" xfId="0" applyFont="1" applyFill="1" applyBorder="1" applyAlignment="1">
      <alignment horizontal="center" vertical="top"/>
    </xf>
    <xf numFmtId="0" fontId="42" fillId="0" borderId="0" xfId="0" applyFont="1"/>
    <xf numFmtId="0" fontId="25" fillId="17" borderId="19" xfId="0" applyFont="1" applyFill="1" applyBorder="1"/>
    <xf numFmtId="0" fontId="20" fillId="0" borderId="10" xfId="0" applyFont="1" applyBorder="1" applyAlignment="1">
      <alignment horizontal="center" vertical="center"/>
    </xf>
    <xf numFmtId="0" fontId="25" fillId="17" borderId="13" xfId="0" applyFont="1" applyFill="1" applyBorder="1" applyAlignment="1">
      <alignment horizontal="center"/>
    </xf>
    <xf numFmtId="165" fontId="31" fillId="0" borderId="13" xfId="0" applyNumberFormat="1" applyFont="1" applyBorder="1" applyAlignment="1">
      <alignment vertical="top"/>
    </xf>
    <xf numFmtId="0" fontId="30" fillId="0" borderId="0" xfId="0" applyFont="1" applyAlignment="1">
      <alignment horizontal="left" vertical="top" wrapText="1"/>
    </xf>
    <xf numFmtId="173" fontId="26" fillId="0" borderId="13" xfId="0" applyNumberFormat="1" applyFont="1" applyBorder="1" applyAlignment="1">
      <alignment vertical="top"/>
    </xf>
    <xf numFmtId="3" fontId="28" fillId="19" borderId="15" xfId="0" applyNumberFormat="1" applyFont="1" applyFill="1" applyBorder="1" applyAlignment="1">
      <alignment horizontal="right"/>
    </xf>
    <xf numFmtId="179" fontId="42" fillId="0" borderId="10" xfId="0" applyNumberFormat="1" applyFont="1" applyBorder="1" applyAlignment="1">
      <alignment horizontal="center" vertical="center"/>
    </xf>
    <xf numFmtId="0" fontId="46" fillId="0" borderId="18" xfId="0" applyFont="1" applyBorder="1" applyAlignment="1">
      <alignment vertical="top" wrapText="1"/>
    </xf>
    <xf numFmtId="0" fontId="34" fillId="18" borderId="17" xfId="0" applyFont="1" applyFill="1" applyBorder="1" applyAlignment="1">
      <alignment horizontal="center" vertical="top"/>
    </xf>
    <xf numFmtId="0" fontId="28" fillId="14" borderId="15" xfId="0" applyFont="1" applyFill="1" applyBorder="1"/>
    <xf numFmtId="0" fontId="35" fillId="0" borderId="10" xfId="0" applyFont="1" applyBorder="1" applyAlignment="1" applyProtection="1">
      <alignment horizontal="center" vertical="center"/>
      <protection locked="0"/>
    </xf>
    <xf numFmtId="0" fontId="28" fillId="18" borderId="17" xfId="0" applyFont="1" applyFill="1" applyBorder="1"/>
    <xf numFmtId="0" fontId="28" fillId="19" borderId="19" xfId="0" applyFont="1" applyFill="1" applyBorder="1" applyAlignment="1">
      <alignment horizontal="center"/>
    </xf>
    <xf numFmtId="0" fontId="48" fillId="24" borderId="10" xfId="0" applyFont="1" applyFill="1" applyBorder="1" applyAlignment="1">
      <alignment vertical="center"/>
    </xf>
    <xf numFmtId="0" fontId="36" fillId="0" borderId="17" xfId="0" applyFont="1" applyBorder="1" applyAlignment="1">
      <alignment vertical="top" wrapText="1"/>
    </xf>
    <xf numFmtId="164" fontId="24" fillId="16" borderId="17" xfId="28" applyNumberFormat="1" applyFont="1" applyFill="1" applyBorder="1" applyAlignment="1">
      <alignment vertical="center"/>
    </xf>
    <xf numFmtId="49" fontId="34" fillId="14" borderId="13" xfId="0" applyNumberFormat="1" applyFont="1" applyFill="1" applyBorder="1" applyAlignment="1">
      <alignment vertical="top"/>
    </xf>
    <xf numFmtId="165" fontId="40" fillId="25" borderId="10" xfId="0" applyNumberFormat="1" applyFont="1" applyFill="1" applyBorder="1" applyAlignment="1">
      <alignment horizontal="center" vertical="center"/>
    </xf>
    <xf numFmtId="0" fontId="25" fillId="17" borderId="19" xfId="0" applyFont="1" applyFill="1" applyBorder="1" applyAlignment="1">
      <alignment horizontal="center"/>
    </xf>
    <xf numFmtId="165" fontId="31" fillId="0" borderId="19" xfId="0" applyNumberFormat="1" applyFont="1" applyBorder="1" applyAlignment="1">
      <alignment vertical="top"/>
    </xf>
    <xf numFmtId="0" fontId="46" fillId="18" borderId="10" xfId="0" applyFont="1" applyFill="1" applyBorder="1" applyAlignment="1">
      <alignment horizontal="center" vertical="center" wrapText="1"/>
    </xf>
    <xf numFmtId="0" fontId="46" fillId="0" borderId="0" xfId="0" applyFont="1" applyAlignment="1">
      <alignment vertical="center"/>
    </xf>
    <xf numFmtId="0" fontId="49" fillId="0" borderId="0" xfId="0" applyFont="1"/>
    <xf numFmtId="49" fontId="35" fillId="18" borderId="10" xfId="0" applyNumberFormat="1" applyFont="1" applyFill="1" applyBorder="1" applyAlignment="1">
      <alignment horizontal="center" vertical="center" wrapText="1"/>
    </xf>
    <xf numFmtId="0" fontId="44" fillId="0" borderId="10" xfId="0" applyFont="1" applyBorder="1"/>
    <xf numFmtId="0" fontId="50" fillId="0" borderId="0" xfId="0" applyFont="1" applyAlignment="1">
      <alignment vertical="top" wrapText="1"/>
    </xf>
    <xf numFmtId="0" fontId="22" fillId="20" borderId="10" xfId="0" applyFont="1" applyFill="1" applyBorder="1" applyAlignment="1">
      <alignment horizontal="center" vertical="top"/>
    </xf>
    <xf numFmtId="2" fontId="44" fillId="21" borderId="10" xfId="0" applyNumberFormat="1" applyFont="1" applyFill="1" applyBorder="1" applyAlignment="1">
      <alignment horizontal="center"/>
    </xf>
    <xf numFmtId="191" fontId="30" fillId="0" borderId="10" xfId="0" applyNumberFormat="1" applyFont="1" applyBorder="1" applyAlignment="1">
      <alignment horizontal="right" vertical="top" wrapText="1"/>
    </xf>
    <xf numFmtId="0" fontId="52" fillId="0" borderId="0" xfId="0" applyFont="1" applyAlignment="1">
      <alignment vertical="top"/>
    </xf>
    <xf numFmtId="0" fontId="24" fillId="16" borderId="13" xfId="0" applyFont="1" applyFill="1" applyBorder="1" applyAlignment="1">
      <alignment horizontal="center" vertical="center"/>
    </xf>
    <xf numFmtId="0" fontId="35" fillId="18" borderId="10" xfId="0" applyFont="1" applyFill="1" applyBorder="1" applyAlignment="1">
      <alignment horizontal="center" vertical="center" wrapText="1"/>
    </xf>
    <xf numFmtId="0" fontId="25" fillId="18" borderId="19" xfId="0" applyFont="1" applyFill="1" applyBorder="1"/>
    <xf numFmtId="0" fontId="31" fillId="0" borderId="17" xfId="0" applyFont="1" applyBorder="1" applyAlignment="1">
      <alignment horizontal="right" vertical="top"/>
    </xf>
    <xf numFmtId="1" fontId="24" fillId="16" borderId="13" xfId="0" applyNumberFormat="1" applyFont="1" applyFill="1" applyBorder="1" applyAlignment="1">
      <alignment horizontal="center" vertical="center"/>
    </xf>
    <xf numFmtId="0" fontId="28" fillId="14" borderId="18" xfId="0" applyFont="1" applyFill="1" applyBorder="1" applyAlignment="1">
      <alignment horizontal="left"/>
    </xf>
    <xf numFmtId="0" fontId="36" fillId="0" borderId="19" xfId="40" applyFont="1" applyBorder="1" applyAlignment="1">
      <alignment horizontal="left" vertical="top" wrapText="1"/>
    </xf>
    <xf numFmtId="181" fontId="25" fillId="18" borderId="13" xfId="0" applyNumberFormat="1" applyFont="1" applyFill="1" applyBorder="1" applyAlignment="1">
      <alignment vertical="top"/>
    </xf>
    <xf numFmtId="167" fontId="25" fillId="18" borderId="17" xfId="0" applyNumberFormat="1" applyFont="1" applyFill="1" applyBorder="1" applyAlignment="1">
      <alignment horizontal="center" vertical="top"/>
    </xf>
    <xf numFmtId="0" fontId="28" fillId="0" borderId="23" xfId="0" applyFont="1" applyBorder="1" applyAlignment="1">
      <alignment horizontal="center" vertical="top" wrapText="1"/>
    </xf>
    <xf numFmtId="165" fontId="24" fillId="16" borderId="18" xfId="0" applyNumberFormat="1" applyFont="1" applyFill="1" applyBorder="1" applyAlignment="1">
      <alignment vertical="center"/>
    </xf>
    <xf numFmtId="0" fontId="38" fillId="18" borderId="13" xfId="0" applyFont="1" applyFill="1" applyBorder="1" applyAlignment="1">
      <alignment horizontal="center" vertical="top"/>
    </xf>
    <xf numFmtId="0" fontId="29" fillId="0" borderId="13" xfId="0" applyFont="1" applyBorder="1" applyAlignment="1">
      <alignment vertical="top" wrapText="1"/>
    </xf>
    <xf numFmtId="191" fontId="30" fillId="0" borderId="13" xfId="0" applyNumberFormat="1" applyFont="1" applyBorder="1" applyAlignment="1">
      <alignment horizontal="right" vertical="top" wrapText="1"/>
    </xf>
    <xf numFmtId="0" fontId="41" fillId="0" borderId="10" xfId="0" applyFont="1" applyBorder="1" applyAlignment="1">
      <alignment vertical="top" wrapText="1"/>
    </xf>
    <xf numFmtId="0" fontId="49" fillId="0" borderId="0" xfId="0" applyFont="1" applyAlignment="1">
      <alignment horizontal="center"/>
    </xf>
    <xf numFmtId="0" fontId="25" fillId="0" borderId="16" xfId="0" applyFont="1" applyBorder="1" applyAlignment="1" applyProtection="1">
      <alignment vertical="top" wrapText="1"/>
      <protection locked="0"/>
    </xf>
    <xf numFmtId="2" fontId="28" fillId="0" borderId="13" xfId="0" applyNumberFormat="1" applyFont="1" applyBorder="1" applyAlignment="1">
      <alignment horizontal="center" vertical="top"/>
    </xf>
    <xf numFmtId="165" fontId="31" fillId="0" borderId="17" xfId="0" applyNumberFormat="1" applyFont="1" applyBorder="1" applyAlignment="1">
      <alignment horizontal="right"/>
    </xf>
    <xf numFmtId="2" fontId="44" fillId="0" borderId="10" xfId="0" applyNumberFormat="1" applyFont="1" applyBorder="1" applyAlignment="1">
      <alignment horizontal="center" vertical="center"/>
    </xf>
    <xf numFmtId="0" fontId="28" fillId="19" borderId="15" xfId="0" applyFont="1" applyFill="1" applyBorder="1"/>
    <xf numFmtId="0" fontId="30" fillId="0" borderId="13" xfId="40" quotePrefix="1" applyFont="1" applyBorder="1" applyAlignment="1">
      <alignment horizontal="left" vertical="top" wrapText="1"/>
    </xf>
    <xf numFmtId="0" fontId="31" fillId="17" borderId="13" xfId="0" applyFont="1" applyFill="1" applyBorder="1" applyAlignment="1">
      <alignment horizontal="center"/>
    </xf>
    <xf numFmtId="49" fontId="31" fillId="0" borderId="17" xfId="0" applyNumberFormat="1" applyFont="1" applyBorder="1" applyAlignment="1">
      <alignment horizontal="left"/>
    </xf>
    <xf numFmtId="165" fontId="55" fillId="0" borderId="13" xfId="0" applyNumberFormat="1" applyFont="1" applyBorder="1" applyAlignment="1">
      <alignment horizontal="right"/>
    </xf>
    <xf numFmtId="0" fontId="39" fillId="0" borderId="17" xfId="40" applyFont="1" applyBorder="1"/>
    <xf numFmtId="0" fontId="28" fillId="0" borderId="0" xfId="0" applyFont="1" applyAlignment="1">
      <alignment vertical="center"/>
    </xf>
    <xf numFmtId="0" fontId="43" fillId="14" borderId="0" xfId="0" applyFont="1" applyFill="1"/>
    <xf numFmtId="0" fontId="1" fillId="0" borderId="20" xfId="0" applyFont="1" applyBorder="1"/>
    <xf numFmtId="0" fontId="34" fillId="0" borderId="16" xfId="0" applyFont="1" applyBorder="1" applyAlignment="1" applyProtection="1">
      <alignment horizontal="center" vertical="top" wrapText="1"/>
      <protection locked="0"/>
    </xf>
    <xf numFmtId="0" fontId="25" fillId="18" borderId="17" xfId="0" applyFont="1" applyFill="1" applyBorder="1" applyAlignment="1">
      <alignment horizontal="center" vertical="top"/>
    </xf>
    <xf numFmtId="0" fontId="25" fillId="17" borderId="17" xfId="0" applyFont="1" applyFill="1" applyBorder="1"/>
    <xf numFmtId="0" fontId="56" fillId="0" borderId="10" xfId="0" applyFont="1" applyBorder="1" applyAlignment="1">
      <alignment horizontal="left" vertical="top" wrapText="1"/>
    </xf>
    <xf numFmtId="0" fontId="25" fillId="18" borderId="19" xfId="0" applyFont="1" applyFill="1" applyBorder="1" applyAlignment="1">
      <alignment horizontal="center"/>
    </xf>
    <xf numFmtId="167" fontId="26" fillId="18" borderId="13" xfId="0" applyNumberFormat="1" applyFont="1" applyFill="1" applyBorder="1" applyAlignment="1">
      <alignment vertical="top"/>
    </xf>
    <xf numFmtId="167" fontId="25" fillId="14" borderId="13" xfId="0" applyNumberFormat="1" applyFont="1" applyFill="1" applyBorder="1" applyAlignment="1">
      <alignment vertical="top"/>
    </xf>
    <xf numFmtId="3" fontId="30" fillId="0" borderId="10" xfId="0" applyNumberFormat="1" applyFont="1" applyBorder="1" applyAlignment="1">
      <alignment horizontal="right" vertical="top" wrapText="1"/>
    </xf>
    <xf numFmtId="0" fontId="30" fillId="0" borderId="0" xfId="0" applyFont="1" applyAlignment="1">
      <alignment horizontal="right" vertical="top" wrapText="1"/>
    </xf>
    <xf numFmtId="0" fontId="20" fillId="0" borderId="0" xfId="0" applyFont="1" applyAlignment="1">
      <alignment vertical="center" wrapText="1"/>
    </xf>
    <xf numFmtId="0" fontId="25" fillId="0" borderId="25" xfId="0" applyFont="1" applyBorder="1"/>
    <xf numFmtId="191" fontId="30" fillId="0" borderId="19" xfId="0" applyNumberFormat="1" applyFont="1" applyBorder="1" applyAlignment="1">
      <alignment horizontal="right" vertical="top" wrapText="1"/>
    </xf>
    <xf numFmtId="49" fontId="26" fillId="18" borderId="13" xfId="0" applyNumberFormat="1" applyFont="1" applyFill="1" applyBorder="1" applyAlignment="1">
      <alignment vertical="top"/>
    </xf>
    <xf numFmtId="49" fontId="25" fillId="14" borderId="13" xfId="0" applyNumberFormat="1" applyFont="1" applyFill="1" applyBorder="1" applyAlignment="1">
      <alignment vertical="top"/>
    </xf>
    <xf numFmtId="0" fontId="24" fillId="0" borderId="0" xfId="0" applyFont="1" applyAlignment="1">
      <alignment horizontal="center"/>
    </xf>
    <xf numFmtId="49" fontId="25" fillId="0" borderId="27" xfId="0" applyNumberFormat="1" applyFont="1" applyBorder="1"/>
    <xf numFmtId="0" fontId="28" fillId="19" borderId="15" xfId="0" applyFont="1" applyFill="1" applyBorder="1" applyAlignment="1">
      <alignment horizontal="center"/>
    </xf>
    <xf numFmtId="3" fontId="21" fillId="0" borderId="10" xfId="0" applyNumberFormat="1" applyFont="1" applyBorder="1" applyAlignment="1">
      <alignment horizontal="center" vertical="center"/>
    </xf>
    <xf numFmtId="165" fontId="55" fillId="0" borderId="19" xfId="0" applyNumberFormat="1" applyFont="1" applyBorder="1" applyAlignment="1">
      <alignment horizontal="right"/>
    </xf>
    <xf numFmtId="173" fontId="34" fillId="18" borderId="19" xfId="0" applyNumberFormat="1" applyFont="1" applyFill="1" applyBorder="1" applyAlignment="1">
      <alignment vertical="top"/>
    </xf>
    <xf numFmtId="0" fontId="26" fillId="18" borderId="13" xfId="0" applyFont="1" applyFill="1" applyBorder="1" applyAlignment="1">
      <alignment vertical="top"/>
    </xf>
    <xf numFmtId="0" fontId="46" fillId="20" borderId="10" xfId="0" applyFont="1" applyFill="1" applyBorder="1" applyAlignment="1">
      <alignment horizontal="center" vertical="top"/>
    </xf>
    <xf numFmtId="0" fontId="42" fillId="0" borderId="10" xfId="0" applyFont="1" applyBorder="1" applyAlignment="1">
      <alignment wrapText="1"/>
    </xf>
    <xf numFmtId="0" fontId="46" fillId="14" borderId="13" xfId="0" applyFont="1" applyFill="1" applyBorder="1" applyAlignment="1">
      <alignment horizontal="center"/>
    </xf>
    <xf numFmtId="0" fontId="39" fillId="0" borderId="17" xfId="40" applyFont="1" applyBorder="1" applyAlignment="1">
      <alignment horizontal="center"/>
    </xf>
    <xf numFmtId="3" fontId="30" fillId="0" borderId="13" xfId="0" applyNumberFormat="1" applyFont="1" applyBorder="1" applyAlignment="1">
      <alignment horizontal="right" vertical="top" wrapText="1"/>
    </xf>
    <xf numFmtId="184" fontId="46" fillId="14" borderId="13" xfId="0" applyNumberFormat="1" applyFont="1" applyFill="1" applyBorder="1" applyAlignment="1">
      <alignment horizontal="center"/>
    </xf>
    <xf numFmtId="0" fontId="25" fillId="17" borderId="17" xfId="0" applyFont="1" applyFill="1" applyBorder="1" applyAlignment="1">
      <alignment horizontal="center"/>
    </xf>
    <xf numFmtId="0" fontId="34" fillId="14" borderId="17" xfId="0" applyFont="1" applyFill="1" applyBorder="1" applyAlignment="1">
      <alignment vertical="top"/>
    </xf>
    <xf numFmtId="176" fontId="46" fillId="14" borderId="13" xfId="0" applyNumberFormat="1" applyFont="1" applyFill="1" applyBorder="1" applyAlignment="1">
      <alignment horizontal="center"/>
    </xf>
    <xf numFmtId="0" fontId="35" fillId="0" borderId="0" xfId="0" applyFont="1"/>
    <xf numFmtId="0" fontId="57" fillId="0" borderId="19" xfId="0" quotePrefix="1" applyFont="1" applyBorder="1"/>
    <xf numFmtId="0" fontId="46" fillId="0" borderId="0" xfId="0" applyFont="1" applyAlignment="1">
      <alignment horizontal="center" vertical="center"/>
    </xf>
    <xf numFmtId="3" fontId="20" fillId="0" borderId="10" xfId="0" applyNumberFormat="1" applyFont="1" applyBorder="1" applyAlignment="1">
      <alignment horizontal="center" vertical="center"/>
    </xf>
    <xf numFmtId="0" fontId="58" fillId="18" borderId="13" xfId="0" applyFont="1" applyFill="1" applyBorder="1" applyAlignment="1">
      <alignment horizontal="center" vertical="top"/>
    </xf>
    <xf numFmtId="176" fontId="41" fillId="0" borderId="10" xfId="0" applyNumberFormat="1" applyFont="1" applyBorder="1" applyAlignment="1">
      <alignment vertical="top"/>
    </xf>
    <xf numFmtId="49" fontId="25" fillId="14" borderId="19" xfId="0" applyNumberFormat="1" applyFont="1" applyFill="1" applyBorder="1" applyAlignment="1">
      <alignment vertical="top"/>
    </xf>
    <xf numFmtId="0" fontId="56" fillId="18" borderId="10" xfId="0" applyFont="1" applyFill="1" applyBorder="1"/>
    <xf numFmtId="0" fontId="28" fillId="14" borderId="13" xfId="0" applyFont="1" applyFill="1" applyBorder="1"/>
    <xf numFmtId="49" fontId="35" fillId="0" borderId="25" xfId="0" applyNumberFormat="1" applyFont="1" applyBorder="1" applyAlignment="1">
      <alignment horizontal="center" vertical="center" wrapText="1"/>
    </xf>
    <xf numFmtId="49" fontId="28" fillId="0" borderId="18" xfId="0" applyNumberFormat="1" applyFont="1" applyBorder="1" applyAlignment="1">
      <alignment horizontal="center" vertical="top" wrapText="1"/>
    </xf>
    <xf numFmtId="175" fontId="22" fillId="18" borderId="10" xfId="0" applyNumberFormat="1" applyFont="1" applyFill="1" applyBorder="1" applyAlignment="1">
      <alignment vertical="top"/>
    </xf>
    <xf numFmtId="0" fontId="1" fillId="0" borderId="0" xfId="0" applyFont="1"/>
    <xf numFmtId="0" fontId="62" fillId="24" borderId="10" xfId="0" applyFont="1" applyFill="1" applyBorder="1" applyAlignment="1">
      <alignment vertical="center" wrapText="1"/>
    </xf>
    <xf numFmtId="0" fontId="30" fillId="0" borderId="13" xfId="40" applyFont="1" applyBorder="1"/>
    <xf numFmtId="3" fontId="30" fillId="0" borderId="19" xfId="0" applyNumberFormat="1" applyFont="1" applyBorder="1" applyAlignment="1">
      <alignment horizontal="right" vertical="top" wrapText="1"/>
    </xf>
    <xf numFmtId="0" fontId="25" fillId="18" borderId="17" xfId="0" applyFont="1" applyFill="1" applyBorder="1"/>
    <xf numFmtId="0" fontId="42" fillId="28" borderId="0" xfId="0" applyFont="1" applyFill="1"/>
    <xf numFmtId="0" fontId="22" fillId="18" borderId="10" xfId="0" applyFont="1" applyFill="1" applyBorder="1" applyAlignment="1">
      <alignment vertical="top"/>
    </xf>
    <xf numFmtId="0" fontId="42" fillId="0" borderId="0" xfId="0" applyFont="1" applyAlignment="1">
      <alignment horizontal="center"/>
    </xf>
    <xf numFmtId="0" fontId="29" fillId="0" borderId="19" xfId="0" applyFont="1" applyBorder="1" applyAlignment="1">
      <alignment vertical="top"/>
    </xf>
    <xf numFmtId="0" fontId="28" fillId="0" borderId="0" xfId="0" applyFont="1"/>
    <xf numFmtId="0" fontId="24" fillId="16" borderId="0" xfId="0" applyFont="1" applyFill="1" applyAlignment="1">
      <alignment horizontal="center" vertical="center"/>
    </xf>
    <xf numFmtId="165" fontId="31" fillId="0" borderId="13" xfId="0" applyNumberFormat="1" applyFont="1" applyBorder="1"/>
    <xf numFmtId="0" fontId="25" fillId="0" borderId="27" xfId="0" applyFont="1" applyBorder="1" applyAlignment="1">
      <alignment vertical="top" wrapText="1"/>
    </xf>
    <xf numFmtId="49" fontId="29" fillId="0" borderId="0" xfId="0" applyNumberFormat="1" applyFont="1" applyAlignment="1">
      <alignment horizontal="center"/>
    </xf>
    <xf numFmtId="179" fontId="28" fillId="0" borderId="0" xfId="0" applyNumberFormat="1" applyFont="1" applyAlignment="1">
      <alignment horizontal="center" vertical="top"/>
    </xf>
    <xf numFmtId="179" fontId="42" fillId="19" borderId="10" xfId="0" applyNumberFormat="1" applyFont="1" applyFill="1" applyBorder="1" applyAlignment="1">
      <alignment horizontal="center" vertical="center"/>
    </xf>
    <xf numFmtId="49" fontId="28" fillId="0" borderId="0" xfId="0" applyNumberFormat="1" applyFont="1" applyAlignment="1">
      <alignment horizontal="center" vertical="center"/>
    </xf>
    <xf numFmtId="165" fontId="36" fillId="0" borderId="13" xfId="0" applyNumberFormat="1" applyFont="1" applyBorder="1" applyAlignment="1">
      <alignment vertical="top"/>
    </xf>
    <xf numFmtId="0" fontId="25" fillId="0" borderId="16" xfId="0" applyFont="1" applyBorder="1" applyAlignment="1" applyProtection="1">
      <alignment horizontal="center" vertical="top" wrapText="1"/>
      <protection locked="0"/>
    </xf>
    <xf numFmtId="0" fontId="64" fillId="0" borderId="10" xfId="41" applyFont="1" applyBorder="1" applyAlignment="1" applyProtection="1">
      <alignment horizontal="center" vertical="center" wrapText="1"/>
      <protection locked="0"/>
    </xf>
    <xf numFmtId="0" fontId="30" fillId="0" borderId="19" xfId="0" applyFont="1" applyBorder="1" applyAlignment="1">
      <alignment horizontal="left" vertical="top" wrapText="1"/>
    </xf>
    <xf numFmtId="165" fontId="29" fillId="0" borderId="10" xfId="0" applyNumberFormat="1" applyFont="1" applyBorder="1" applyAlignment="1">
      <alignment horizontal="center" vertical="center"/>
    </xf>
    <xf numFmtId="0" fontId="28" fillId="14" borderId="13" xfId="0" applyFont="1" applyFill="1" applyBorder="1" applyAlignment="1">
      <alignment horizontal="center"/>
    </xf>
    <xf numFmtId="0" fontId="24" fillId="16" borderId="19" xfId="0" applyFont="1" applyFill="1" applyBorder="1" applyAlignment="1">
      <alignment vertical="center" wrapText="1"/>
    </xf>
    <xf numFmtId="171" fontId="25" fillId="17" borderId="13" xfId="0" applyNumberFormat="1" applyFont="1" applyFill="1" applyBorder="1"/>
    <xf numFmtId="0" fontId="28" fillId="0" borderId="0" xfId="0" applyFont="1" applyAlignment="1">
      <alignment horizontal="center" vertical="center"/>
    </xf>
    <xf numFmtId="0" fontId="41" fillId="0" borderId="19" xfId="0" applyFont="1" applyBorder="1" applyAlignment="1">
      <alignment vertical="top"/>
    </xf>
    <xf numFmtId="0" fontId="20" fillId="23" borderId="10" xfId="0" applyFont="1" applyFill="1" applyBorder="1" applyAlignment="1">
      <alignment horizontal="center"/>
    </xf>
    <xf numFmtId="0" fontId="30" fillId="0" borderId="13" xfId="40" applyFont="1" applyBorder="1" applyAlignment="1">
      <alignment horizontal="center"/>
    </xf>
    <xf numFmtId="0" fontId="25" fillId="18" borderId="17" xfId="0" applyFont="1" applyFill="1" applyBorder="1" applyAlignment="1">
      <alignment horizontal="center"/>
    </xf>
    <xf numFmtId="1" fontId="24" fillId="16" borderId="17" xfId="0" applyNumberFormat="1" applyFont="1" applyFill="1" applyBorder="1" applyAlignment="1">
      <alignment horizontal="center" vertical="center"/>
    </xf>
    <xf numFmtId="167" fontId="26" fillId="18" borderId="13" xfId="0" applyNumberFormat="1" applyFont="1" applyFill="1" applyBorder="1" applyAlignment="1">
      <alignment horizontal="center" vertical="top"/>
    </xf>
    <xf numFmtId="181" fontId="25" fillId="18" borderId="17" xfId="0" applyNumberFormat="1" applyFont="1" applyFill="1" applyBorder="1" applyAlignment="1">
      <alignment vertical="top"/>
    </xf>
    <xf numFmtId="165" fontId="31" fillId="0" borderId="19" xfId="0" applyNumberFormat="1" applyFont="1" applyBorder="1"/>
    <xf numFmtId="173" fontId="22" fillId="0" borderId="17" xfId="0" applyNumberFormat="1" applyFont="1" applyBorder="1" applyAlignment="1">
      <alignment vertical="top"/>
    </xf>
    <xf numFmtId="167" fontId="25" fillId="14" borderId="13" xfId="0" applyNumberFormat="1" applyFont="1" applyFill="1" applyBorder="1" applyAlignment="1">
      <alignment horizontal="center" vertical="top"/>
    </xf>
    <xf numFmtId="0" fontId="46" fillId="0" borderId="10" xfId="0" applyFont="1" applyBorder="1" applyAlignment="1">
      <alignment horizontal="center" vertical="center" wrapText="1"/>
    </xf>
    <xf numFmtId="165" fontId="22" fillId="0" borderId="10" xfId="0" applyNumberFormat="1" applyFont="1" applyBorder="1" applyAlignment="1">
      <alignment vertical="top"/>
    </xf>
    <xf numFmtId="175" fontId="31" fillId="0" borderId="13" xfId="0" applyNumberFormat="1" applyFont="1" applyBorder="1" applyAlignment="1">
      <alignment horizontal="right" vertical="top"/>
    </xf>
    <xf numFmtId="0" fontId="31" fillId="0" borderId="17" xfId="0" applyFont="1" applyBorder="1" applyAlignment="1">
      <alignment vertical="top"/>
    </xf>
    <xf numFmtId="0" fontId="31" fillId="17" borderId="17" xfId="0" applyFont="1" applyFill="1" applyBorder="1" applyAlignment="1">
      <alignment horizontal="center"/>
    </xf>
    <xf numFmtId="171" fontId="25" fillId="17" borderId="19" xfId="0" applyNumberFormat="1" applyFont="1" applyFill="1" applyBorder="1"/>
    <xf numFmtId="3" fontId="28" fillId="0" borderId="19" xfId="0" applyNumberFormat="1" applyFont="1" applyBorder="1"/>
    <xf numFmtId="173" fontId="34" fillId="18" borderId="17" xfId="0" applyNumberFormat="1" applyFont="1" applyFill="1" applyBorder="1" applyAlignment="1">
      <alignment vertical="top"/>
    </xf>
    <xf numFmtId="0" fontId="20" fillId="21" borderId="10" xfId="0" applyFont="1" applyFill="1" applyBorder="1" applyAlignment="1">
      <alignment horizontal="center"/>
    </xf>
    <xf numFmtId="165" fontId="25" fillId="17" borderId="13" xfId="0" applyNumberFormat="1" applyFont="1" applyFill="1" applyBorder="1" applyAlignment="1">
      <alignment vertical="top" wrapText="1"/>
    </xf>
    <xf numFmtId="0" fontId="35" fillId="0" borderId="10" xfId="0" applyFont="1" applyBorder="1" applyAlignment="1">
      <alignment horizontal="center" vertical="center" wrapText="1"/>
    </xf>
    <xf numFmtId="0" fontId="26" fillId="18" borderId="13" xfId="0" applyFont="1" applyFill="1" applyBorder="1" applyAlignment="1">
      <alignment horizontal="center" vertical="top"/>
    </xf>
    <xf numFmtId="0" fontId="25" fillId="14" borderId="13" xfId="0" applyFont="1" applyFill="1" applyBorder="1" applyAlignment="1">
      <alignment horizontal="center" vertical="top"/>
    </xf>
    <xf numFmtId="0" fontId="31" fillId="0" borderId="0" xfId="0" applyFont="1" applyAlignment="1">
      <alignment vertical="top"/>
    </xf>
    <xf numFmtId="0" fontId="25" fillId="0" borderId="21" xfId="0" applyFont="1" applyBorder="1" applyAlignment="1">
      <alignment horizontal="left" vertical="top"/>
    </xf>
    <xf numFmtId="172" fontId="55" fillId="0" borderId="19" xfId="0" applyNumberFormat="1" applyFont="1" applyBorder="1" applyAlignment="1">
      <alignment horizontal="right"/>
    </xf>
    <xf numFmtId="192" fontId="25" fillId="0" borderId="21" xfId="0" applyNumberFormat="1" applyFont="1" applyBorder="1" applyAlignment="1">
      <alignment horizontal="right" vertical="top"/>
    </xf>
    <xf numFmtId="180" fontId="38" fillId="18" borderId="13" xfId="0" applyNumberFormat="1" applyFont="1" applyFill="1" applyBorder="1" applyAlignment="1">
      <alignment vertical="top"/>
    </xf>
    <xf numFmtId="0" fontId="46" fillId="0" borderId="15" xfId="0" applyFont="1" applyBorder="1" applyAlignment="1">
      <alignment vertical="top" wrapText="1"/>
    </xf>
    <xf numFmtId="189" fontId="42" fillId="0" borderId="0" xfId="0" applyNumberFormat="1" applyFont="1"/>
    <xf numFmtId="173" fontId="22" fillId="0" borderId="10" xfId="0" applyNumberFormat="1" applyFont="1" applyBorder="1" applyAlignment="1">
      <alignment horizontal="right" vertical="center"/>
    </xf>
    <xf numFmtId="175" fontId="31" fillId="0" borderId="19" xfId="0" applyNumberFormat="1" applyFont="1" applyBorder="1" applyAlignment="1">
      <alignment horizontal="right" vertical="top"/>
    </xf>
    <xf numFmtId="166" fontId="25" fillId="17" borderId="13" xfId="0" applyNumberFormat="1" applyFont="1" applyFill="1" applyBorder="1"/>
    <xf numFmtId="0" fontId="28" fillId="0" borderId="33" xfId="0" applyFont="1" applyBorder="1" applyAlignment="1" applyProtection="1">
      <alignment horizontal="center" vertical="top"/>
      <protection locked="0"/>
    </xf>
    <xf numFmtId="179" fontId="44" fillId="23" borderId="10" xfId="0" applyNumberFormat="1" applyFont="1" applyFill="1" applyBorder="1" applyAlignment="1">
      <alignment horizontal="center"/>
    </xf>
    <xf numFmtId="3" fontId="30" fillId="0" borderId="17" xfId="0" applyNumberFormat="1" applyFont="1" applyBorder="1" applyAlignment="1">
      <alignment horizontal="right" vertical="top" wrapText="1"/>
    </xf>
    <xf numFmtId="3" fontId="28" fillId="0" borderId="18" xfId="0" applyNumberFormat="1" applyFont="1" applyBorder="1" applyAlignment="1">
      <alignment vertical="top"/>
    </xf>
    <xf numFmtId="165" fontId="34" fillId="18" borderId="13" xfId="0" applyNumberFormat="1" applyFont="1" applyFill="1" applyBorder="1" applyAlignment="1">
      <alignment vertical="top"/>
    </xf>
    <xf numFmtId="180" fontId="25" fillId="18" borderId="17" xfId="0" applyNumberFormat="1" applyFont="1" applyFill="1" applyBorder="1" applyAlignment="1">
      <alignment vertical="top"/>
    </xf>
    <xf numFmtId="0" fontId="29" fillId="0" borderId="17" xfId="0" applyFont="1" applyBorder="1" applyAlignment="1">
      <alignment vertical="top"/>
    </xf>
    <xf numFmtId="0" fontId="22" fillId="18" borderId="10" xfId="0" applyFont="1" applyFill="1" applyBorder="1" applyAlignment="1">
      <alignment horizontal="center" vertical="top"/>
    </xf>
    <xf numFmtId="0" fontId="29" fillId="0" borderId="19" xfId="0" applyFont="1" applyBorder="1" applyAlignment="1">
      <alignment horizontal="center" vertical="top"/>
    </xf>
    <xf numFmtId="165" fontId="26" fillId="14" borderId="13" xfId="0" applyNumberFormat="1" applyFont="1" applyFill="1" applyBorder="1" applyAlignment="1">
      <alignment vertical="top"/>
    </xf>
    <xf numFmtId="49" fontId="35" fillId="0" borderId="35" xfId="0" applyNumberFormat="1" applyFont="1" applyBorder="1"/>
    <xf numFmtId="0" fontId="25" fillId="0" borderId="27" xfId="0" applyFont="1" applyBorder="1" applyAlignment="1">
      <alignment horizontal="center" vertical="top" wrapText="1"/>
    </xf>
    <xf numFmtId="179" fontId="28" fillId="0" borderId="0" xfId="0" applyNumberFormat="1" applyFont="1" applyAlignment="1">
      <alignment horizontal="center"/>
    </xf>
    <xf numFmtId="0" fontId="66" fillId="0" borderId="13" xfId="0" applyFont="1" applyBorder="1" applyAlignment="1">
      <alignment wrapText="1"/>
    </xf>
    <xf numFmtId="49" fontId="25" fillId="14" borderId="13" xfId="0" applyNumberFormat="1" applyFont="1" applyFill="1" applyBorder="1"/>
    <xf numFmtId="0" fontId="24" fillId="19" borderId="13" xfId="0" applyFont="1" applyFill="1" applyBorder="1" applyAlignment="1">
      <alignment horizontal="center" vertical="center" wrapText="1"/>
    </xf>
    <xf numFmtId="0" fontId="30" fillId="0" borderId="17" xfId="0" applyFont="1" applyBorder="1" applyAlignment="1">
      <alignment horizontal="left" vertical="top" wrapText="1"/>
    </xf>
    <xf numFmtId="49" fontId="0" fillId="0" borderId="0" xfId="0" applyNumberFormat="1"/>
    <xf numFmtId="0" fontId="42" fillId="0" borderId="0" xfId="0" applyFont="1" applyAlignment="1">
      <alignment horizontal="center" vertical="center"/>
    </xf>
    <xf numFmtId="173" fontId="38" fillId="18" borderId="13" xfId="0" applyNumberFormat="1" applyFont="1" applyFill="1" applyBorder="1" applyAlignment="1">
      <alignment vertical="top"/>
    </xf>
    <xf numFmtId="0" fontId="24" fillId="16" borderId="17" xfId="0" applyFont="1" applyFill="1" applyBorder="1" applyAlignment="1">
      <alignment vertical="center" wrapText="1"/>
    </xf>
    <xf numFmtId="0" fontId="24" fillId="16" borderId="19" xfId="0" applyFont="1" applyFill="1" applyBorder="1" applyAlignment="1">
      <alignment horizontal="center" vertical="center" wrapText="1"/>
    </xf>
    <xf numFmtId="165" fontId="25" fillId="18" borderId="13" xfId="0" applyNumberFormat="1" applyFont="1" applyFill="1" applyBorder="1" applyAlignment="1">
      <alignment vertical="top" wrapText="1"/>
    </xf>
    <xf numFmtId="0" fontId="41" fillId="0" borderId="19" xfId="0" applyFont="1" applyBorder="1" applyAlignment="1">
      <alignment horizontal="center" vertical="top"/>
    </xf>
    <xf numFmtId="0" fontId="25" fillId="14" borderId="13" xfId="0" applyFont="1" applyFill="1" applyBorder="1"/>
    <xf numFmtId="0" fontId="36" fillId="0" borderId="13" xfId="0" quotePrefix="1" applyFont="1" applyBorder="1" applyAlignment="1">
      <alignment vertical="top" wrapText="1"/>
    </xf>
    <xf numFmtId="0" fontId="41" fillId="20" borderId="10" xfId="0" applyFont="1" applyFill="1" applyBorder="1" applyAlignment="1">
      <alignment vertical="top" wrapText="1"/>
    </xf>
    <xf numFmtId="182" fontId="25" fillId="0" borderId="16" xfId="0" applyNumberFormat="1" applyFont="1" applyBorder="1" applyAlignment="1" applyProtection="1">
      <alignment vertical="top" wrapText="1"/>
      <protection locked="0"/>
    </xf>
    <xf numFmtId="2" fontId="20" fillId="0" borderId="29" xfId="0" applyNumberFormat="1" applyFont="1" applyBorder="1"/>
    <xf numFmtId="0" fontId="68" fillId="0" borderId="10" xfId="40" applyFont="1" applyBorder="1" applyAlignment="1">
      <alignment horizontal="center" vertical="center" wrapText="1"/>
    </xf>
    <xf numFmtId="165" fontId="31" fillId="0" borderId="17" xfId="0" applyNumberFormat="1" applyFont="1" applyBorder="1"/>
    <xf numFmtId="0" fontId="28" fillId="14" borderId="15" xfId="0" applyFont="1" applyFill="1" applyBorder="1" applyAlignment="1">
      <alignment horizontal="left"/>
    </xf>
    <xf numFmtId="0" fontId="46" fillId="14" borderId="0" xfId="0" applyFont="1" applyFill="1" applyAlignment="1">
      <alignment horizontal="center" vertical="center" wrapText="1"/>
    </xf>
    <xf numFmtId="49" fontId="35" fillId="0" borderId="35" xfId="0" applyNumberFormat="1" applyFont="1" applyBorder="1" applyAlignment="1">
      <alignment horizontal="center"/>
    </xf>
    <xf numFmtId="0" fontId="70" fillId="0" borderId="0" xfId="0" applyFont="1"/>
    <xf numFmtId="0" fontId="25" fillId="0" borderId="0" xfId="0" applyFont="1"/>
    <xf numFmtId="0" fontId="24" fillId="19" borderId="19" xfId="0" applyFont="1" applyFill="1" applyBorder="1" applyAlignment="1">
      <alignment horizontal="center" vertical="center" wrapText="1"/>
    </xf>
    <xf numFmtId="172" fontId="31" fillId="0" borderId="19" xfId="0" applyNumberFormat="1" applyFont="1" applyBorder="1"/>
    <xf numFmtId="0" fontId="35" fillId="0" borderId="35" xfId="0" applyFont="1" applyBorder="1" applyAlignment="1">
      <alignment vertical="top" wrapText="1"/>
    </xf>
    <xf numFmtId="166" fontId="25" fillId="18" borderId="13" xfId="0" applyNumberFormat="1" applyFont="1" applyFill="1" applyBorder="1"/>
    <xf numFmtId="0" fontId="31" fillId="0" borderId="17" xfId="0" applyFont="1" applyBorder="1" applyAlignment="1">
      <alignment horizontal="center" vertical="top"/>
    </xf>
    <xf numFmtId="171" fontId="25" fillId="17" borderId="17" xfId="0" applyNumberFormat="1" applyFont="1" applyFill="1" applyBorder="1"/>
    <xf numFmtId="0" fontId="71" fillId="24" borderId="10" xfId="0" applyFont="1" applyFill="1" applyBorder="1" applyAlignment="1">
      <alignment vertical="top"/>
    </xf>
    <xf numFmtId="0" fontId="41" fillId="0" borderId="10" xfId="40" applyFont="1" applyBorder="1" applyAlignment="1">
      <alignment horizontal="center" vertical="center" wrapText="1"/>
    </xf>
    <xf numFmtId="0" fontId="34" fillId="18" borderId="17" xfId="0" applyFont="1" applyFill="1" applyBorder="1" applyAlignment="1">
      <alignment horizontal="right" vertical="top"/>
    </xf>
    <xf numFmtId="0" fontId="31" fillId="0" borderId="13" xfId="0" applyFont="1" applyBorder="1" applyAlignment="1">
      <alignment vertical="top" wrapText="1"/>
    </xf>
    <xf numFmtId="0" fontId="22" fillId="0" borderId="13" xfId="0" quotePrefix="1" applyFont="1" applyBorder="1"/>
    <xf numFmtId="165" fontId="25" fillId="18" borderId="19" xfId="0" applyNumberFormat="1" applyFont="1" applyFill="1" applyBorder="1" applyAlignment="1">
      <alignment vertical="top" wrapText="1"/>
    </xf>
    <xf numFmtId="49" fontId="25" fillId="0" borderId="25" xfId="0" applyNumberFormat="1" applyFont="1" applyBorder="1" applyAlignment="1">
      <alignment horizontal="center" vertical="center" wrapText="1"/>
    </xf>
    <xf numFmtId="0" fontId="28" fillId="18" borderId="13" xfId="0" applyFont="1" applyFill="1" applyBorder="1" applyAlignment="1">
      <alignment vertical="top"/>
    </xf>
    <xf numFmtId="165" fontId="24" fillId="19" borderId="15" xfId="0" applyNumberFormat="1" applyFont="1" applyFill="1" applyBorder="1" applyAlignment="1">
      <alignment vertical="center"/>
    </xf>
    <xf numFmtId="0" fontId="22" fillId="18" borderId="10" xfId="0" applyFont="1" applyFill="1" applyBorder="1"/>
    <xf numFmtId="0" fontId="25" fillId="14" borderId="13" xfId="0" applyFont="1" applyFill="1" applyBorder="1" applyAlignment="1">
      <alignment horizontal="center"/>
    </xf>
    <xf numFmtId="193" fontId="36" fillId="0" borderId="13" xfId="0" applyNumberFormat="1" applyFont="1" applyBorder="1" applyAlignment="1">
      <alignment vertical="top"/>
    </xf>
    <xf numFmtId="0" fontId="31" fillId="0" borderId="0" xfId="0" applyFont="1" applyAlignment="1">
      <alignment horizontal="center" vertical="top"/>
    </xf>
    <xf numFmtId="0" fontId="44" fillId="0" borderId="10" xfId="0" applyFont="1" applyBorder="1" applyAlignment="1">
      <alignment horizontal="center" vertical="center"/>
    </xf>
    <xf numFmtId="0" fontId="24" fillId="0" borderId="0" xfId="0" applyFont="1"/>
    <xf numFmtId="0" fontId="25" fillId="0" borderId="0" xfId="0" applyFont="1" applyAlignment="1">
      <alignment horizontal="center"/>
    </xf>
    <xf numFmtId="0" fontId="35" fillId="20" borderId="10" xfId="0" applyFont="1" applyFill="1" applyBorder="1" applyAlignment="1">
      <alignment horizontal="center" vertical="top" wrapText="1"/>
    </xf>
    <xf numFmtId="0" fontId="20" fillId="0" borderId="10" xfId="0" applyFont="1" applyBorder="1" applyAlignment="1">
      <alignment horizontal="center"/>
    </xf>
    <xf numFmtId="173" fontId="58" fillId="18" borderId="13" xfId="0" applyNumberFormat="1" applyFont="1" applyFill="1" applyBorder="1" applyAlignment="1">
      <alignment vertical="top"/>
    </xf>
    <xf numFmtId="176" fontId="36" fillId="17" borderId="19" xfId="0" applyNumberFormat="1" applyFont="1" applyFill="1" applyBorder="1" applyAlignment="1">
      <alignment vertical="top"/>
    </xf>
    <xf numFmtId="0" fontId="25" fillId="14" borderId="19" xfId="0" applyFont="1" applyFill="1" applyBorder="1" applyAlignment="1">
      <alignment vertical="top" wrapText="1"/>
    </xf>
    <xf numFmtId="165" fontId="34" fillId="17" borderId="13" xfId="0" applyNumberFormat="1" applyFont="1" applyFill="1" applyBorder="1"/>
    <xf numFmtId="49" fontId="54" fillId="0" borderId="0" xfId="40" applyNumberFormat="1" applyFont="1" applyAlignment="1">
      <alignment vertical="center"/>
    </xf>
    <xf numFmtId="0" fontId="29" fillId="0" borderId="17" xfId="0" applyFont="1" applyBorder="1" applyAlignment="1">
      <alignment horizontal="center" vertical="top"/>
    </xf>
    <xf numFmtId="0" fontId="36" fillId="0" borderId="0" xfId="40" applyFont="1"/>
    <xf numFmtId="0" fontId="22" fillId="18" borderId="10" xfId="0" applyFont="1" applyFill="1" applyBorder="1" applyAlignment="1">
      <alignment horizontal="center"/>
    </xf>
    <xf numFmtId="193" fontId="36" fillId="0" borderId="19" xfId="0" applyNumberFormat="1" applyFont="1" applyBorder="1" applyAlignment="1">
      <alignment vertical="top"/>
    </xf>
    <xf numFmtId="0" fontId="45" fillId="16" borderId="13" xfId="0" applyFont="1" applyFill="1" applyBorder="1" applyAlignment="1">
      <alignment vertical="center"/>
    </xf>
    <xf numFmtId="0" fontId="24" fillId="19" borderId="19" xfId="0" applyFont="1" applyFill="1" applyBorder="1" applyAlignment="1">
      <alignment horizontal="center" vertical="center"/>
    </xf>
    <xf numFmtId="165" fontId="25" fillId="18" borderId="0" xfId="0" applyNumberFormat="1" applyFont="1" applyFill="1"/>
    <xf numFmtId="175" fontId="31" fillId="0" borderId="13" xfId="0" applyNumberFormat="1" applyFont="1" applyBorder="1" applyAlignment="1">
      <alignment vertical="top"/>
    </xf>
    <xf numFmtId="0" fontId="58" fillId="18" borderId="17" xfId="0" applyFont="1" applyFill="1" applyBorder="1" applyAlignment="1">
      <alignment vertical="top" wrapText="1"/>
    </xf>
    <xf numFmtId="189" fontId="28" fillId="0" borderId="13" xfId="44" applyNumberFormat="1" applyFont="1" applyFill="1" applyBorder="1" applyAlignment="1">
      <alignment horizontal="center" vertical="top"/>
    </xf>
    <xf numFmtId="165" fontId="56" fillId="0" borderId="10" xfId="40" applyNumberFormat="1" applyFont="1" applyBorder="1" applyAlignment="1">
      <alignment horizontal="right"/>
    </xf>
    <xf numFmtId="0" fontId="28" fillId="0" borderId="36" xfId="0" applyFont="1" applyBorder="1" applyAlignment="1" applyProtection="1">
      <alignment horizontal="center" vertical="top"/>
      <protection locked="0"/>
    </xf>
    <xf numFmtId="0" fontId="46" fillId="0" borderId="13" xfId="0" applyFont="1" applyBorder="1" applyAlignment="1">
      <alignment vertical="top" wrapText="1"/>
    </xf>
    <xf numFmtId="0" fontId="35" fillId="14" borderId="10" xfId="0" applyFont="1" applyFill="1" applyBorder="1" applyAlignment="1">
      <alignment horizontal="center" vertical="center"/>
    </xf>
    <xf numFmtId="49" fontId="31" fillId="0" borderId="0" xfId="0" applyNumberFormat="1" applyFont="1"/>
    <xf numFmtId="0" fontId="30" fillId="0" borderId="23" xfId="0" applyFont="1" applyBorder="1" applyAlignment="1">
      <alignment horizontal="center" vertical="top" wrapText="1"/>
    </xf>
    <xf numFmtId="0" fontId="24" fillId="16" borderId="17" xfId="0" applyFont="1" applyFill="1" applyBorder="1" applyAlignment="1">
      <alignment horizontal="center" vertical="center" wrapText="1"/>
    </xf>
    <xf numFmtId="173" fontId="31" fillId="0" borderId="13" xfId="0" applyNumberFormat="1" applyFont="1" applyBorder="1" applyAlignment="1">
      <alignment horizontal="right"/>
    </xf>
    <xf numFmtId="0" fontId="0" fillId="14" borderId="0" xfId="0" applyFill="1"/>
    <xf numFmtId="0" fontId="46" fillId="0" borderId="0" xfId="0" applyFont="1"/>
    <xf numFmtId="0" fontId="46" fillId="0" borderId="0" xfId="0" applyFont="1" applyAlignment="1">
      <alignment horizontal="center" vertical="top"/>
    </xf>
    <xf numFmtId="179" fontId="24" fillId="16" borderId="13" xfId="0" applyNumberFormat="1" applyFont="1" applyFill="1" applyBorder="1" applyAlignment="1">
      <alignment horizontal="center" vertical="center"/>
    </xf>
    <xf numFmtId="49" fontId="35" fillId="0" borderId="20" xfId="0" applyNumberFormat="1" applyFont="1" applyBorder="1"/>
    <xf numFmtId="0" fontId="72" fillId="0" borderId="0" xfId="0" applyFont="1" applyAlignment="1">
      <alignment horizontal="center" vertical="center" wrapText="1"/>
    </xf>
    <xf numFmtId="165" fontId="34" fillId="17" borderId="19" xfId="0" applyNumberFormat="1" applyFont="1" applyFill="1" applyBorder="1"/>
    <xf numFmtId="175" fontId="35" fillId="20" borderId="10" xfId="0" applyNumberFormat="1" applyFont="1" applyFill="1" applyBorder="1" applyAlignment="1">
      <alignment horizontal="center" vertical="top"/>
    </xf>
    <xf numFmtId="0" fontId="31" fillId="0" borderId="10" xfId="0" applyFont="1" applyBorder="1" applyAlignment="1">
      <alignment wrapText="1"/>
    </xf>
    <xf numFmtId="0" fontId="31" fillId="0" borderId="0" xfId="0" applyFont="1"/>
    <xf numFmtId="0" fontId="20" fillId="0" borderId="26" xfId="0" applyFont="1" applyBorder="1"/>
    <xf numFmtId="188" fontId="42" fillId="23" borderId="10" xfId="0" applyNumberFormat="1" applyFont="1" applyFill="1" applyBorder="1" applyAlignment="1">
      <alignment horizontal="center"/>
    </xf>
    <xf numFmtId="0" fontId="73" fillId="0" borderId="0" xfId="0" applyFont="1" applyAlignment="1">
      <alignment horizontal="center" vertical="top" wrapText="1"/>
    </xf>
    <xf numFmtId="165" fontId="22" fillId="0" borderId="13" xfId="0" applyNumberFormat="1" applyFont="1" applyBorder="1"/>
    <xf numFmtId="0" fontId="35" fillId="0" borderId="20" xfId="0" applyFont="1" applyBorder="1"/>
    <xf numFmtId="0" fontId="31" fillId="0" borderId="19" xfId="0" applyFont="1" applyBorder="1" applyAlignment="1">
      <alignment vertical="top"/>
    </xf>
    <xf numFmtId="172" fontId="31" fillId="0" borderId="17" xfId="0" applyNumberFormat="1" applyFont="1" applyBorder="1"/>
    <xf numFmtId="179" fontId="44" fillId="0" borderId="10" xfId="0" applyNumberFormat="1" applyFont="1" applyBorder="1" applyAlignment="1">
      <alignment horizontal="center"/>
    </xf>
    <xf numFmtId="0" fontId="74" fillId="0" borderId="0" xfId="0" applyFont="1" applyAlignment="1">
      <alignment horizontal="center" vertical="center"/>
    </xf>
    <xf numFmtId="49" fontId="59" fillId="0" borderId="0" xfId="0" applyNumberFormat="1" applyFont="1"/>
    <xf numFmtId="0" fontId="75" fillId="0" borderId="0" xfId="0" applyFont="1"/>
    <xf numFmtId="165" fontId="25" fillId="18" borderId="17" xfId="0" applyNumberFormat="1" applyFont="1" applyFill="1" applyBorder="1" applyAlignment="1">
      <alignment vertical="top" wrapText="1"/>
    </xf>
    <xf numFmtId="0" fontId="20" fillId="19" borderId="10" xfId="0" applyFont="1" applyFill="1" applyBorder="1" applyAlignment="1">
      <alignment horizontal="center" vertical="center"/>
    </xf>
    <xf numFmtId="0" fontId="31" fillId="0" borderId="13" xfId="0" applyFont="1" applyBorder="1" applyAlignment="1">
      <alignment wrapText="1"/>
    </xf>
    <xf numFmtId="0" fontId="36" fillId="0" borderId="17" xfId="0" quotePrefix="1" applyFont="1" applyBorder="1" applyAlignment="1">
      <alignment vertical="top" wrapText="1"/>
    </xf>
    <xf numFmtId="165" fontId="34" fillId="18" borderId="13" xfId="0" applyNumberFormat="1" applyFont="1" applyFill="1" applyBorder="1"/>
    <xf numFmtId="176" fontId="34" fillId="17" borderId="13" xfId="0" applyNumberFormat="1" applyFont="1" applyFill="1" applyBorder="1" applyAlignment="1">
      <alignment horizontal="right" vertical="top"/>
    </xf>
    <xf numFmtId="49" fontId="35" fillId="0" borderId="20" xfId="0" applyNumberFormat="1" applyFont="1" applyBorder="1" applyAlignment="1">
      <alignment horizontal="center"/>
    </xf>
    <xf numFmtId="180" fontId="22" fillId="18" borderId="10" xfId="0" applyNumberFormat="1" applyFont="1" applyFill="1" applyBorder="1" applyAlignment="1">
      <alignment vertical="top"/>
    </xf>
    <xf numFmtId="0" fontId="44" fillId="16" borderId="0" xfId="0" applyFont="1" applyFill="1" applyAlignment="1">
      <alignment horizontal="right" vertical="center" wrapText="1"/>
    </xf>
    <xf numFmtId="165" fontId="22" fillId="20" borderId="10" xfId="0" applyNumberFormat="1" applyFont="1" applyFill="1" applyBorder="1" applyAlignment="1">
      <alignment vertical="top"/>
    </xf>
    <xf numFmtId="0" fontId="28" fillId="19" borderId="37" xfId="0" applyFont="1" applyFill="1" applyBorder="1" applyAlignment="1">
      <alignment horizontal="center"/>
    </xf>
    <xf numFmtId="49" fontId="28" fillId="0" borderId="0" xfId="0" applyNumberFormat="1" applyFont="1" applyAlignment="1">
      <alignment horizontal="center" vertical="top"/>
    </xf>
    <xf numFmtId="179" fontId="30" fillId="0" borderId="38" xfId="0" applyNumberFormat="1" applyFont="1" applyBorder="1" applyAlignment="1">
      <alignment horizontal="center" vertical="top" wrapText="1"/>
    </xf>
    <xf numFmtId="188" fontId="42" fillId="21" borderId="10" xfId="0" applyNumberFormat="1" applyFont="1" applyFill="1" applyBorder="1" applyAlignment="1">
      <alignment horizontal="center"/>
    </xf>
    <xf numFmtId="2" fontId="44" fillId="0" borderId="10" xfId="0" applyNumberFormat="1" applyFont="1" applyBorder="1" applyAlignment="1">
      <alignment horizontal="center"/>
    </xf>
    <xf numFmtId="174" fontId="36" fillId="0" borderId="17" xfId="0" applyNumberFormat="1" applyFont="1" applyBorder="1" applyAlignment="1">
      <alignment vertical="top"/>
    </xf>
    <xf numFmtId="0" fontId="21" fillId="0" borderId="0" xfId="0" applyFont="1" applyAlignment="1">
      <alignment vertical="center" wrapText="1"/>
    </xf>
    <xf numFmtId="0" fontId="28" fillId="29" borderId="19" xfId="0" applyFont="1" applyFill="1" applyBorder="1"/>
    <xf numFmtId="2" fontId="44" fillId="0" borderId="0" xfId="0" applyNumberFormat="1" applyFont="1" applyAlignment="1">
      <alignment horizontal="center"/>
    </xf>
    <xf numFmtId="173" fontId="26" fillId="18" borderId="13" xfId="0" applyNumberFormat="1" applyFont="1" applyFill="1" applyBorder="1" applyAlignment="1">
      <alignment vertical="top"/>
    </xf>
    <xf numFmtId="165" fontId="24" fillId="16" borderId="13" xfId="0" applyNumberFormat="1" applyFont="1" applyFill="1" applyBorder="1" applyAlignment="1">
      <alignment vertical="center"/>
    </xf>
    <xf numFmtId="49" fontId="25" fillId="0" borderId="35" xfId="0" applyNumberFormat="1" applyFont="1" applyBorder="1"/>
    <xf numFmtId="167" fontId="25" fillId="18" borderId="13" xfId="0" applyNumberFormat="1" applyFont="1" applyFill="1" applyBorder="1" applyAlignment="1">
      <alignment vertical="top"/>
    </xf>
    <xf numFmtId="165" fontId="62" fillId="24" borderId="10" xfId="0" applyNumberFormat="1" applyFont="1" applyFill="1" applyBorder="1" applyAlignment="1">
      <alignment vertical="center"/>
    </xf>
    <xf numFmtId="166" fontId="25" fillId="18" borderId="17" xfId="0" applyNumberFormat="1" applyFont="1" applyFill="1" applyBorder="1"/>
    <xf numFmtId="49" fontId="25" fillId="18" borderId="13" xfId="0" applyNumberFormat="1" applyFont="1" applyFill="1" applyBorder="1" applyAlignment="1">
      <alignment vertical="top"/>
    </xf>
    <xf numFmtId="176" fontId="36" fillId="17" borderId="17" xfId="0" applyNumberFormat="1" applyFont="1" applyFill="1" applyBorder="1" applyAlignment="1">
      <alignment vertical="top"/>
    </xf>
    <xf numFmtId="0" fontId="76" fillId="18" borderId="10" xfId="0" applyFont="1" applyFill="1" applyBorder="1" applyAlignment="1">
      <alignment vertical="top"/>
    </xf>
    <xf numFmtId="0" fontId="25" fillId="14" borderId="17" xfId="0" applyFont="1" applyFill="1" applyBorder="1" applyAlignment="1">
      <alignment vertical="top" wrapText="1"/>
    </xf>
    <xf numFmtId="0" fontId="59" fillId="14" borderId="0" xfId="0" applyFont="1" applyFill="1"/>
    <xf numFmtId="183" fontId="22" fillId="0" borderId="16" xfId="0" applyNumberFormat="1" applyFont="1" applyBorder="1" applyAlignment="1" applyProtection="1">
      <alignment horizontal="right" vertical="top" wrapText="1"/>
      <protection locked="0"/>
    </xf>
    <xf numFmtId="165" fontId="24" fillId="19" borderId="13" xfId="0" applyNumberFormat="1" applyFont="1" applyFill="1" applyBorder="1" applyAlignment="1">
      <alignment vertical="center"/>
    </xf>
    <xf numFmtId="49" fontId="46" fillId="0" borderId="13" xfId="0" applyNumberFormat="1" applyFont="1" applyBorder="1" applyAlignment="1">
      <alignment horizontal="center" vertical="top" wrapText="1"/>
    </xf>
    <xf numFmtId="0" fontId="28" fillId="18" borderId="10" xfId="0" applyFont="1" applyFill="1" applyBorder="1"/>
    <xf numFmtId="183" fontId="25" fillId="0" borderId="40" xfId="0" applyNumberFormat="1" applyFont="1" applyBorder="1" applyAlignment="1" applyProtection="1">
      <alignment vertical="top" wrapText="1"/>
      <protection locked="0"/>
    </xf>
    <xf numFmtId="49" fontId="78" fillId="0" borderId="13" xfId="0" applyNumberFormat="1" applyFont="1" applyBorder="1" applyAlignment="1">
      <alignment vertical="top"/>
    </xf>
    <xf numFmtId="188" fontId="42" fillId="0" borderId="10" xfId="0" applyNumberFormat="1" applyFont="1" applyBorder="1" applyAlignment="1">
      <alignment horizontal="center" vertical="center"/>
    </xf>
    <xf numFmtId="0" fontId="25" fillId="18" borderId="13" xfId="0" applyFont="1" applyFill="1" applyBorder="1" applyAlignment="1">
      <alignment vertical="top"/>
    </xf>
    <xf numFmtId="0" fontId="28" fillId="29" borderId="19" xfId="0" applyFont="1" applyFill="1" applyBorder="1" applyAlignment="1">
      <alignment horizontal="center"/>
    </xf>
    <xf numFmtId="49" fontId="46" fillId="0" borderId="0" xfId="0" applyNumberFormat="1" applyFont="1" applyAlignment="1">
      <alignment horizontal="center"/>
    </xf>
    <xf numFmtId="0" fontId="30" fillId="0" borderId="10" xfId="0" applyFont="1" applyBorder="1" applyAlignment="1">
      <alignment horizontal="center" vertical="top" wrapText="1"/>
    </xf>
    <xf numFmtId="0" fontId="30" fillId="0" borderId="0" xfId="0" applyFont="1"/>
    <xf numFmtId="165" fontId="25" fillId="17" borderId="19" xfId="0" applyNumberFormat="1" applyFont="1" applyFill="1" applyBorder="1"/>
    <xf numFmtId="0" fontId="24" fillId="16" borderId="0" xfId="0" applyFont="1" applyFill="1"/>
    <xf numFmtId="173" fontId="58" fillId="18" borderId="17" xfId="0" applyNumberFormat="1" applyFont="1" applyFill="1" applyBorder="1" applyAlignment="1">
      <alignment vertical="top"/>
    </xf>
    <xf numFmtId="49" fontId="25" fillId="18" borderId="19" xfId="0" applyNumberFormat="1" applyFont="1" applyFill="1" applyBorder="1" applyAlignment="1">
      <alignment vertical="top"/>
    </xf>
    <xf numFmtId="49" fontId="29" fillId="0" borderId="10" xfId="0" applyNumberFormat="1" applyFont="1" applyBorder="1" applyAlignment="1">
      <alignment horizontal="center" vertical="center" wrapText="1"/>
    </xf>
    <xf numFmtId="0" fontId="31" fillId="14" borderId="0" xfId="0" applyFont="1" applyFill="1"/>
    <xf numFmtId="0" fontId="46" fillId="0" borderId="0" xfId="0" applyFont="1" applyAlignment="1">
      <alignment horizontal="right" vertical="center"/>
    </xf>
    <xf numFmtId="0" fontId="46" fillId="0" borderId="0" xfId="0" applyFont="1" applyAlignment="1">
      <alignment horizontal="center"/>
    </xf>
    <xf numFmtId="0" fontId="25" fillId="0" borderId="35" xfId="0" applyFont="1" applyBorder="1" applyAlignment="1">
      <alignment vertical="top" wrapText="1"/>
    </xf>
    <xf numFmtId="174" fontId="41" fillId="0" borderId="10" xfId="0" applyNumberFormat="1" applyFont="1" applyBorder="1" applyAlignment="1">
      <alignment vertical="top"/>
    </xf>
    <xf numFmtId="0" fontId="28" fillId="18" borderId="13" xfId="0" applyFont="1" applyFill="1" applyBorder="1"/>
    <xf numFmtId="0" fontId="28" fillId="0" borderId="13" xfId="0" applyFont="1" applyBorder="1" applyAlignment="1">
      <alignment vertical="top"/>
    </xf>
    <xf numFmtId="165" fontId="34" fillId="17" borderId="17" xfId="0" applyNumberFormat="1" applyFont="1" applyFill="1" applyBorder="1"/>
    <xf numFmtId="0" fontId="66" fillId="14" borderId="13" xfId="0" applyFont="1" applyFill="1" applyBorder="1"/>
    <xf numFmtId="49" fontId="60" fillId="0" borderId="0" xfId="0" applyNumberFormat="1" applyFont="1" applyAlignment="1">
      <alignment horizontal="right"/>
    </xf>
    <xf numFmtId="175" fontId="31" fillId="0" borderId="17" xfId="0" applyNumberFormat="1" applyFont="1" applyBorder="1" applyAlignment="1">
      <alignment vertical="top"/>
    </xf>
    <xf numFmtId="0" fontId="30" fillId="0" borderId="13" xfId="0" applyFont="1" applyBorder="1" applyAlignment="1">
      <alignment horizontal="center" vertical="top" wrapText="1"/>
    </xf>
    <xf numFmtId="0" fontId="21" fillId="19" borderId="10" xfId="0" applyFont="1" applyFill="1" applyBorder="1" applyAlignment="1">
      <alignment horizontal="center"/>
    </xf>
    <xf numFmtId="0" fontId="22" fillId="0" borderId="16" xfId="0" applyFont="1" applyBorder="1" applyAlignment="1" applyProtection="1">
      <alignment horizontal="center" vertical="top" wrapText="1"/>
      <protection locked="0"/>
    </xf>
    <xf numFmtId="165" fontId="76" fillId="0" borderId="10" xfId="0" applyNumberFormat="1" applyFont="1" applyBorder="1" applyAlignment="1">
      <alignment vertical="top"/>
    </xf>
    <xf numFmtId="0" fontId="28" fillId="19" borderId="19" xfId="0" applyFont="1" applyFill="1" applyBorder="1"/>
    <xf numFmtId="0" fontId="31" fillId="0" borderId="19" xfId="0" applyFont="1" applyBorder="1" applyAlignment="1">
      <alignment horizontal="center" vertical="top"/>
    </xf>
    <xf numFmtId="49" fontId="25" fillId="14" borderId="13" xfId="0" quotePrefix="1" applyNumberFormat="1" applyFont="1" applyFill="1" applyBorder="1" applyAlignment="1">
      <alignment vertical="top"/>
    </xf>
    <xf numFmtId="0" fontId="80" fillId="18" borderId="0" xfId="0" applyFont="1" applyFill="1"/>
    <xf numFmtId="49" fontId="28" fillId="0" borderId="13" xfId="0" applyNumberFormat="1" applyFont="1" applyBorder="1" applyAlignment="1">
      <alignment horizontal="center" vertical="top" wrapText="1"/>
    </xf>
    <xf numFmtId="165" fontId="36" fillId="0" borderId="13" xfId="40" applyNumberFormat="1" applyFont="1" applyBorder="1" applyAlignment="1">
      <alignment horizontal="right"/>
    </xf>
    <xf numFmtId="0" fontId="81" fillId="18" borderId="13" xfId="0" applyFont="1" applyFill="1" applyBorder="1" applyAlignment="1">
      <alignment vertical="top"/>
    </xf>
    <xf numFmtId="179" fontId="28" fillId="0" borderId="0" xfId="0" applyNumberFormat="1" applyFont="1" applyAlignment="1">
      <alignment horizontal="center" vertical="center"/>
    </xf>
    <xf numFmtId="0" fontId="28" fillId="0" borderId="37" xfId="0" applyFont="1" applyBorder="1" applyAlignment="1">
      <alignment horizontal="center"/>
    </xf>
    <xf numFmtId="49" fontId="28" fillId="0" borderId="0" xfId="0" applyNumberFormat="1" applyFont="1" applyAlignment="1">
      <alignment horizontal="center"/>
    </xf>
    <xf numFmtId="0" fontId="22" fillId="0" borderId="10" xfId="0" applyFont="1" applyBorder="1" applyAlignment="1">
      <alignment vertical="top" wrapText="1"/>
    </xf>
    <xf numFmtId="179" fontId="46" fillId="0" borderId="10" xfId="0" applyNumberFormat="1" applyFont="1" applyBorder="1" applyAlignment="1">
      <alignment horizontal="center" vertical="center" wrapText="1"/>
    </xf>
    <xf numFmtId="0" fontId="30" fillId="0" borderId="19" xfId="0" applyFont="1" applyBorder="1" applyAlignment="1">
      <alignment horizontal="center" vertical="top" wrapText="1"/>
    </xf>
    <xf numFmtId="165" fontId="31" fillId="17" borderId="13" xfId="0" applyNumberFormat="1" applyFont="1" applyFill="1" applyBorder="1"/>
    <xf numFmtId="0" fontId="36" fillId="0" borderId="19" xfId="40" applyFont="1" applyBorder="1"/>
    <xf numFmtId="169" fontId="25" fillId="17" borderId="10" xfId="0" applyNumberFormat="1" applyFont="1" applyFill="1" applyBorder="1"/>
    <xf numFmtId="0" fontId="28" fillId="14" borderId="0" xfId="0" applyFont="1" applyFill="1" applyAlignment="1">
      <alignment horizontal="left"/>
    </xf>
    <xf numFmtId="167" fontId="25" fillId="18" borderId="13" xfId="0" applyNumberFormat="1" applyFont="1" applyFill="1" applyBorder="1" applyAlignment="1">
      <alignment horizontal="center" vertical="top"/>
    </xf>
    <xf numFmtId="49" fontId="25" fillId="14" borderId="19" xfId="0" quotePrefix="1" applyNumberFormat="1" applyFont="1" applyFill="1" applyBorder="1" applyAlignment="1">
      <alignment vertical="top"/>
    </xf>
    <xf numFmtId="189" fontId="46" fillId="0" borderId="18" xfId="44" applyNumberFormat="1" applyFont="1" applyFill="1" applyBorder="1" applyAlignment="1">
      <alignment horizontal="center" vertical="top"/>
    </xf>
    <xf numFmtId="0" fontId="36" fillId="0" borderId="13" xfId="0" applyFont="1" applyBorder="1" applyAlignment="1">
      <alignment vertical="top"/>
    </xf>
    <xf numFmtId="0" fontId="39" fillId="0" borderId="13" xfId="0" applyFont="1" applyBorder="1" applyAlignment="1">
      <alignment horizontal="left" vertical="top" wrapText="1"/>
    </xf>
    <xf numFmtId="165" fontId="31" fillId="0" borderId="13" xfId="0" applyNumberFormat="1" applyFont="1" applyBorder="1" applyAlignment="1">
      <alignment horizontal="right"/>
    </xf>
    <xf numFmtId="187" fontId="42" fillId="19" borderId="10" xfId="0" applyNumberFormat="1" applyFont="1" applyFill="1" applyBorder="1" applyAlignment="1">
      <alignment horizontal="center"/>
    </xf>
    <xf numFmtId="165" fontId="34" fillId="18" borderId="17" xfId="0" applyNumberFormat="1" applyFont="1" applyFill="1" applyBorder="1"/>
    <xf numFmtId="0" fontId="29" fillId="0" borderId="10" xfId="0" applyFont="1" applyBorder="1" applyAlignment="1">
      <alignment horizontal="center" vertical="center"/>
    </xf>
    <xf numFmtId="49" fontId="36" fillId="0" borderId="0" xfId="0" applyNumberFormat="1" applyFont="1"/>
    <xf numFmtId="0" fontId="39" fillId="0" borderId="13" xfId="40" applyFont="1" applyBorder="1"/>
    <xf numFmtId="165" fontId="31" fillId="17" borderId="19" xfId="0" applyNumberFormat="1" applyFont="1" applyFill="1" applyBorder="1"/>
    <xf numFmtId="0" fontId="25" fillId="18" borderId="13" xfId="0" applyFont="1" applyFill="1" applyBorder="1" applyAlignment="1">
      <alignment horizontal="center" vertical="top"/>
    </xf>
    <xf numFmtId="3" fontId="46" fillId="0" borderId="13" xfId="0" applyNumberFormat="1" applyFont="1" applyBorder="1" applyAlignment="1">
      <alignment vertical="top"/>
    </xf>
    <xf numFmtId="0" fontId="31" fillId="0" borderId="19" xfId="0" applyFont="1" applyBorder="1"/>
    <xf numFmtId="172" fontId="24" fillId="19" borderId="13" xfId="0" applyNumberFormat="1" applyFont="1" applyFill="1" applyBorder="1" applyAlignment="1">
      <alignment vertical="center"/>
    </xf>
    <xf numFmtId="0" fontId="25" fillId="18" borderId="0" xfId="0" applyFont="1" applyFill="1" applyAlignment="1">
      <alignment vertical="top"/>
    </xf>
    <xf numFmtId="0" fontId="36" fillId="0" borderId="19" xfId="40" applyFont="1" applyBorder="1" applyAlignment="1">
      <alignment horizontal="center"/>
    </xf>
    <xf numFmtId="175" fontId="22" fillId="0" borderId="10" xfId="0" applyNumberFormat="1" applyFont="1" applyBorder="1" applyAlignment="1">
      <alignment vertical="top"/>
    </xf>
    <xf numFmtId="165" fontId="25" fillId="17" borderId="17" xfId="0" applyNumberFormat="1" applyFont="1" applyFill="1" applyBorder="1"/>
    <xf numFmtId="0" fontId="82" fillId="16" borderId="0" xfId="0" applyFont="1" applyFill="1" applyAlignment="1">
      <alignment vertical="center" wrapText="1"/>
    </xf>
    <xf numFmtId="0" fontId="34" fillId="18" borderId="13" xfId="0" applyFont="1" applyFill="1" applyBorder="1" applyAlignment="1">
      <alignment vertical="top" wrapText="1"/>
    </xf>
    <xf numFmtId="179" fontId="42" fillId="21" borderId="0" xfId="0" applyNumberFormat="1" applyFont="1" applyFill="1" applyAlignment="1">
      <alignment horizontal="center"/>
    </xf>
    <xf numFmtId="0" fontId="26" fillId="14" borderId="13" xfId="0" applyFont="1" applyFill="1" applyBorder="1" applyAlignment="1">
      <alignment vertical="top" wrapText="1"/>
    </xf>
    <xf numFmtId="0" fontId="76" fillId="0" borderId="10" xfId="0" applyFont="1" applyBorder="1" applyAlignment="1">
      <alignment vertical="top"/>
    </xf>
    <xf numFmtId="0" fontId="41" fillId="0" borderId="10" xfId="0" applyFont="1" applyBorder="1" applyAlignment="1">
      <alignment horizontal="center" vertical="center"/>
    </xf>
    <xf numFmtId="0" fontId="36" fillId="0" borderId="19" xfId="0" applyFont="1" applyBorder="1" applyAlignment="1">
      <alignment vertical="top"/>
    </xf>
    <xf numFmtId="49" fontId="78" fillId="14" borderId="19" xfId="0" applyNumberFormat="1" applyFont="1" applyFill="1" applyBorder="1" applyAlignment="1">
      <alignment vertical="top"/>
    </xf>
    <xf numFmtId="0" fontId="58" fillId="18" borderId="13" xfId="0" applyFont="1" applyFill="1" applyBorder="1" applyAlignment="1">
      <alignment horizontal="left" vertical="top" wrapText="1"/>
    </xf>
    <xf numFmtId="0" fontId="25" fillId="0" borderId="35" xfId="0" applyFont="1" applyBorder="1" applyAlignment="1">
      <alignment horizontal="center" vertical="top" wrapText="1"/>
    </xf>
    <xf numFmtId="0" fontId="21" fillId="0" borderId="10" xfId="0" applyFont="1" applyBorder="1" applyAlignment="1">
      <alignment horizontal="center" vertical="center"/>
    </xf>
    <xf numFmtId="0" fontId="28" fillId="0" borderId="0" xfId="0" applyFont="1" applyAlignment="1" applyProtection="1">
      <alignment vertical="top"/>
      <protection locked="0"/>
    </xf>
    <xf numFmtId="0" fontId="28" fillId="0" borderId="13" xfId="0" applyFont="1" applyBorder="1" applyAlignment="1">
      <alignment horizontal="center" vertical="top"/>
    </xf>
    <xf numFmtId="0" fontId="42" fillId="0" borderId="10" xfId="0" applyFont="1" applyBorder="1"/>
    <xf numFmtId="0" fontId="56" fillId="0" borderId="13" xfId="0" applyFont="1" applyBorder="1"/>
    <xf numFmtId="0" fontId="39" fillId="0" borderId="13" xfId="40" applyFont="1" applyBorder="1" applyAlignment="1">
      <alignment horizontal="center"/>
    </xf>
    <xf numFmtId="172" fontId="24" fillId="19" borderId="19" xfId="0" applyNumberFormat="1" applyFont="1" applyFill="1" applyBorder="1" applyAlignment="1">
      <alignment vertical="center"/>
    </xf>
    <xf numFmtId="165" fontId="26" fillId="18" borderId="13" xfId="0" applyNumberFormat="1" applyFont="1" applyFill="1" applyBorder="1" applyAlignment="1">
      <alignment vertical="top"/>
    </xf>
    <xf numFmtId="165" fontId="25" fillId="14" borderId="13" xfId="0" applyNumberFormat="1" applyFont="1" applyFill="1" applyBorder="1" applyAlignment="1">
      <alignment vertical="top"/>
    </xf>
    <xf numFmtId="0" fontId="31" fillId="0" borderId="19" xfId="0" applyFont="1" applyBorder="1" applyAlignment="1">
      <alignment horizontal="center"/>
    </xf>
    <xf numFmtId="187" fontId="42" fillId="21" borderId="10" xfId="0" applyNumberFormat="1" applyFont="1" applyFill="1" applyBorder="1" applyAlignment="1">
      <alignment horizontal="center"/>
    </xf>
    <xf numFmtId="179" fontId="42" fillId="0" borderId="0" xfId="0" applyNumberFormat="1" applyFont="1" applyAlignment="1">
      <alignment horizontal="center" vertical="center"/>
    </xf>
    <xf numFmtId="179" fontId="24" fillId="16" borderId="19" xfId="0" applyNumberFormat="1" applyFont="1" applyFill="1" applyBorder="1" applyAlignment="1">
      <alignment horizontal="center" vertical="center" wrapText="1"/>
    </xf>
    <xf numFmtId="49" fontId="25" fillId="18" borderId="13" xfId="0" applyNumberFormat="1" applyFont="1" applyFill="1" applyBorder="1"/>
    <xf numFmtId="0" fontId="76" fillId="18" borderId="10" xfId="0" applyFont="1" applyFill="1" applyBorder="1"/>
    <xf numFmtId="0" fontId="58" fillId="18" borderId="19" xfId="0" applyFont="1" applyFill="1" applyBorder="1" applyAlignment="1">
      <alignment horizontal="left" vertical="top" wrapText="1"/>
    </xf>
    <xf numFmtId="0" fontId="81" fillId="18" borderId="13" xfId="0" applyFont="1" applyFill="1" applyBorder="1" applyAlignment="1">
      <alignment horizontal="center" vertical="top"/>
    </xf>
    <xf numFmtId="0" fontId="28" fillId="0" borderId="19" xfId="0" applyFont="1" applyBorder="1" applyAlignment="1">
      <alignment horizontal="center" vertical="top"/>
    </xf>
    <xf numFmtId="175" fontId="34" fillId="18" borderId="13" xfId="0" applyNumberFormat="1" applyFont="1" applyFill="1" applyBorder="1" applyAlignment="1">
      <alignment vertical="top"/>
    </xf>
    <xf numFmtId="3" fontId="28" fillId="0" borderId="37" xfId="0" applyNumberFormat="1" applyFont="1" applyBorder="1"/>
    <xf numFmtId="0" fontId="42" fillId="0" borderId="10" xfId="0" applyFont="1" applyBorder="1" applyAlignment="1">
      <alignment horizontal="center"/>
    </xf>
    <xf numFmtId="3" fontId="28" fillId="0" borderId="13" xfId="0" applyNumberFormat="1" applyFont="1" applyBorder="1" applyAlignment="1">
      <alignment vertical="top"/>
    </xf>
    <xf numFmtId="2" fontId="42" fillId="0" borderId="10" xfId="0" applyNumberFormat="1" applyFont="1" applyBorder="1" applyAlignment="1">
      <alignment horizontal="center" vertical="center"/>
    </xf>
    <xf numFmtId="0" fontId="30" fillId="0" borderId="17" xfId="0" applyFont="1" applyBorder="1" applyAlignment="1">
      <alignment horizontal="center" vertical="top" wrapText="1"/>
    </xf>
    <xf numFmtId="165" fontId="35" fillId="20" borderId="10" xfId="0" applyNumberFormat="1" applyFont="1" applyFill="1" applyBorder="1" applyAlignment="1">
      <alignment horizontal="center" vertical="top"/>
    </xf>
    <xf numFmtId="0" fontId="25" fillId="18" borderId="13" xfId="0" applyFont="1" applyFill="1" applyBorder="1"/>
    <xf numFmtId="0" fontId="36" fillId="0" borderId="13" xfId="40" applyFont="1" applyBorder="1" applyAlignment="1">
      <alignment horizontal="left" vertical="top" wrapText="1"/>
    </xf>
    <xf numFmtId="165" fontId="25" fillId="14" borderId="19" xfId="0" applyNumberFormat="1" applyFont="1" applyFill="1" applyBorder="1" applyAlignment="1">
      <alignment vertical="top"/>
    </xf>
    <xf numFmtId="0" fontId="28" fillId="0" borderId="38" xfId="0" applyFont="1" applyBorder="1" applyAlignment="1">
      <alignment horizontal="center" vertical="top" wrapText="1"/>
    </xf>
    <xf numFmtId="187" fontId="42" fillId="0" borderId="10" xfId="0" applyNumberFormat="1" applyFont="1" applyBorder="1" applyAlignment="1">
      <alignment horizontal="center" vertical="center"/>
    </xf>
    <xf numFmtId="189" fontId="42" fillId="0" borderId="10" xfId="0" applyNumberFormat="1" applyFont="1" applyBorder="1"/>
    <xf numFmtId="0" fontId="72" fillId="0" borderId="0" xfId="0" applyFont="1" applyAlignment="1">
      <alignment horizontal="center" vertical="top" wrapText="1"/>
    </xf>
    <xf numFmtId="0" fontId="26" fillId="0" borderId="13" xfId="0" applyFont="1" applyBorder="1" applyAlignment="1">
      <alignment horizontal="center" vertical="top"/>
    </xf>
    <xf numFmtId="49" fontId="25" fillId="18" borderId="19" xfId="0" applyNumberFormat="1" applyFont="1" applyFill="1" applyBorder="1"/>
    <xf numFmtId="0" fontId="73" fillId="0" borderId="0" xfId="0" applyFont="1" applyAlignment="1">
      <alignment horizontal="left" vertical="top" wrapText="1"/>
    </xf>
    <xf numFmtId="0" fontId="36" fillId="0" borderId="13" xfId="0" applyFont="1" applyBorder="1" applyAlignment="1">
      <alignment horizontal="center" vertical="top"/>
    </xf>
    <xf numFmtId="167" fontId="25" fillId="0" borderId="16" xfId="0" applyNumberFormat="1" applyFont="1" applyBorder="1" applyAlignment="1" applyProtection="1">
      <alignment vertical="top" wrapText="1"/>
      <protection locked="0"/>
    </xf>
    <xf numFmtId="193" fontId="76" fillId="0" borderId="10" xfId="0" applyNumberFormat="1" applyFont="1" applyBorder="1" applyAlignment="1">
      <alignment vertical="top"/>
    </xf>
    <xf numFmtId="3" fontId="28" fillId="0" borderId="15" xfId="0" applyNumberFormat="1" applyFont="1" applyBorder="1"/>
    <xf numFmtId="175" fontId="34" fillId="18" borderId="19" xfId="0" applyNumberFormat="1" applyFont="1" applyFill="1" applyBorder="1" applyAlignment="1">
      <alignment vertical="top"/>
    </xf>
    <xf numFmtId="0" fontId="58" fillId="18" borderId="10" xfId="0" applyFont="1" applyFill="1" applyBorder="1" applyAlignment="1">
      <alignment horizontal="center" vertical="center" wrapText="1"/>
    </xf>
    <xf numFmtId="0" fontId="36" fillId="14" borderId="0" xfId="0" applyFont="1" applyFill="1"/>
    <xf numFmtId="179" fontId="44" fillId="0" borderId="10" xfId="0" applyNumberFormat="1" applyFont="1" applyBorder="1" applyAlignment="1">
      <alignment horizontal="center" vertical="center"/>
    </xf>
    <xf numFmtId="165" fontId="31" fillId="17" borderId="17" xfId="0" applyNumberFormat="1" applyFont="1" applyFill="1" applyBorder="1"/>
    <xf numFmtId="172" fontId="31" fillId="0" borderId="13" xfId="0" applyNumberFormat="1" applyFont="1" applyBorder="1" applyAlignment="1">
      <alignment horizontal="right"/>
    </xf>
    <xf numFmtId="0" fontId="34" fillId="18" borderId="19" xfId="0" applyFont="1" applyFill="1" applyBorder="1" applyAlignment="1">
      <alignment vertical="top"/>
    </xf>
    <xf numFmtId="0" fontId="25" fillId="18" borderId="13" xfId="0" applyFont="1" applyFill="1" applyBorder="1" applyAlignment="1">
      <alignment horizontal="center"/>
    </xf>
    <xf numFmtId="0" fontId="83" fillId="14" borderId="13" xfId="0" applyFont="1" applyFill="1" applyBorder="1"/>
    <xf numFmtId="0" fontId="46" fillId="0" borderId="18" xfId="0" applyFont="1" applyBorder="1" applyAlignment="1">
      <alignment vertical="top"/>
    </xf>
    <xf numFmtId="0" fontId="31" fillId="0" borderId="17" xfId="0" applyFont="1" applyBorder="1"/>
    <xf numFmtId="0" fontId="26" fillId="18" borderId="13" xfId="0" applyFont="1" applyFill="1" applyBorder="1" applyAlignment="1">
      <alignment horizontal="left" vertical="top" wrapText="1"/>
    </xf>
    <xf numFmtId="168" fontId="25" fillId="18" borderId="13" xfId="0" applyNumberFormat="1" applyFont="1" applyFill="1" applyBorder="1" applyAlignment="1">
      <alignment vertical="top"/>
    </xf>
    <xf numFmtId="0" fontId="44" fillId="16" borderId="0" xfId="0" applyFont="1" applyFill="1" applyAlignment="1">
      <alignment horizontal="center" vertical="center" wrapText="1"/>
    </xf>
    <xf numFmtId="0" fontId="55" fillId="0" borderId="13" xfId="0" applyFont="1" applyBorder="1"/>
    <xf numFmtId="0" fontId="36" fillId="0" borderId="17" xfId="0" applyFont="1" applyBorder="1" applyAlignment="1">
      <alignment vertical="top"/>
    </xf>
    <xf numFmtId="0" fontId="39" fillId="0" borderId="17" xfId="0" applyFont="1" applyBorder="1" applyAlignment="1">
      <alignment horizontal="left" vertical="top" wrapText="1"/>
    </xf>
    <xf numFmtId="0" fontId="76" fillId="0" borderId="10" xfId="0" applyFont="1" applyBorder="1" applyAlignment="1">
      <alignment horizontal="center" vertical="top"/>
    </xf>
    <xf numFmtId="0" fontId="36" fillId="0" borderId="19" xfId="0" applyFont="1" applyBorder="1" applyAlignment="1">
      <alignment horizontal="center" vertical="top"/>
    </xf>
    <xf numFmtId="0" fontId="30" fillId="0" borderId="36" xfId="0" applyFont="1" applyBorder="1" applyAlignment="1" applyProtection="1">
      <alignment horizontal="center" vertical="top"/>
      <protection locked="0"/>
    </xf>
    <xf numFmtId="0" fontId="53" fillId="24" borderId="10" xfId="0" applyFont="1" applyFill="1" applyBorder="1" applyAlignment="1">
      <alignment vertical="top"/>
    </xf>
    <xf numFmtId="0" fontId="36" fillId="0" borderId="10" xfId="0" applyFont="1" applyBorder="1"/>
    <xf numFmtId="173" fontId="34" fillId="18" borderId="13" xfId="0" applyNumberFormat="1" applyFont="1" applyFill="1" applyBorder="1" applyAlignment="1">
      <alignment vertical="top"/>
    </xf>
    <xf numFmtId="0" fontId="25" fillId="18" borderId="19" xfId="0" applyFont="1" applyFill="1" applyBorder="1" applyAlignment="1">
      <alignment vertical="top" wrapText="1"/>
    </xf>
    <xf numFmtId="49" fontId="46" fillId="0" borderId="18" xfId="0" applyNumberFormat="1" applyFont="1" applyBorder="1" applyAlignment="1">
      <alignment horizontal="center" vertical="top" wrapText="1"/>
    </xf>
    <xf numFmtId="172" fontId="31" fillId="0" borderId="19" xfId="0" applyNumberFormat="1" applyFont="1" applyBorder="1" applyAlignment="1">
      <alignment horizontal="right"/>
    </xf>
    <xf numFmtId="0" fontId="25" fillId="17" borderId="13" xfId="0" applyFont="1" applyFill="1" applyBorder="1" applyAlignment="1">
      <alignment horizontal="center" vertical="top" wrapText="1"/>
    </xf>
    <xf numFmtId="174" fontId="41" fillId="20" borderId="10" xfId="0" applyNumberFormat="1" applyFont="1" applyFill="1" applyBorder="1" applyAlignment="1">
      <alignment vertical="top"/>
    </xf>
    <xf numFmtId="0" fontId="57" fillId="0" borderId="13" xfId="0" quotePrefix="1" applyFont="1" applyBorder="1"/>
    <xf numFmtId="0" fontId="31" fillId="0" borderId="17" xfId="0" applyFont="1" applyBorder="1" applyAlignment="1">
      <alignment horizontal="center"/>
    </xf>
    <xf numFmtId="165" fontId="31" fillId="0" borderId="0" xfId="0" applyNumberFormat="1" applyFont="1" applyAlignment="1">
      <alignment vertical="top"/>
    </xf>
    <xf numFmtId="190" fontId="30" fillId="0" borderId="10" xfId="0" applyNumberFormat="1" applyFont="1" applyBorder="1" applyAlignment="1">
      <alignment horizontal="center" vertical="top" wrapText="1"/>
    </xf>
    <xf numFmtId="179" fontId="30" fillId="0" borderId="23" xfId="0" applyNumberFormat="1" applyFont="1" applyBorder="1" applyAlignment="1">
      <alignment horizontal="center" vertical="top" wrapText="1"/>
    </xf>
    <xf numFmtId="0" fontId="55" fillId="0" borderId="19" xfId="0" applyFont="1" applyBorder="1"/>
    <xf numFmtId="179" fontId="24" fillId="16" borderId="17" xfId="0" applyNumberFormat="1" applyFont="1" applyFill="1" applyBorder="1" applyAlignment="1">
      <alignment horizontal="center" vertical="center" wrapText="1"/>
    </xf>
    <xf numFmtId="0" fontId="55" fillId="0" borderId="13" xfId="0" applyFont="1" applyBorder="1" applyAlignment="1">
      <alignment horizontal="center"/>
    </xf>
    <xf numFmtId="0" fontId="36" fillId="0" borderId="13" xfId="0" applyFont="1" applyBorder="1"/>
    <xf numFmtId="49" fontId="35" fillId="0" borderId="0" xfId="0" applyNumberFormat="1" applyFont="1"/>
    <xf numFmtId="0" fontId="28" fillId="0" borderId="19" xfId="0" applyFont="1" applyBorder="1" applyAlignment="1">
      <alignment horizontal="center"/>
    </xf>
    <xf numFmtId="49" fontId="46" fillId="0" borderId="0" xfId="0" applyNumberFormat="1" applyFont="1" applyAlignment="1">
      <alignment horizontal="center" vertical="center"/>
    </xf>
    <xf numFmtId="0" fontId="30" fillId="0" borderId="10" xfId="0" applyFont="1" applyBorder="1" applyAlignment="1">
      <alignment horizontal="left" vertical="top" wrapText="1"/>
    </xf>
    <xf numFmtId="0" fontId="36" fillId="0" borderId="10" xfId="0" applyFont="1" applyBorder="1" applyAlignment="1">
      <alignment horizontal="center"/>
    </xf>
    <xf numFmtId="170" fontId="25" fillId="18" borderId="19" xfId="0" applyNumberFormat="1" applyFont="1" applyFill="1" applyBorder="1" applyAlignment="1">
      <alignment vertical="top" wrapText="1"/>
    </xf>
    <xf numFmtId="0" fontId="28" fillId="14" borderId="0" xfId="0" applyFont="1" applyFill="1"/>
    <xf numFmtId="3" fontId="21" fillId="0" borderId="0" xfId="0" applyNumberFormat="1" applyFont="1" applyAlignment="1">
      <alignment horizontal="center" vertical="center"/>
    </xf>
    <xf numFmtId="170" fontId="25" fillId="17" borderId="13" xfId="0" applyNumberFormat="1" applyFont="1" applyFill="1" applyBorder="1" applyAlignment="1">
      <alignment horizontal="center" vertical="top" wrapText="1"/>
    </xf>
    <xf numFmtId="49" fontId="25" fillId="0" borderId="25" xfId="0" applyNumberFormat="1" applyFont="1" applyBorder="1" applyAlignment="1">
      <alignment horizontal="center"/>
    </xf>
    <xf numFmtId="0" fontId="25" fillId="17" borderId="19" xfId="0" applyFont="1" applyFill="1" applyBorder="1" applyAlignment="1">
      <alignment horizontal="center" vertical="top" wrapText="1"/>
    </xf>
    <xf numFmtId="180" fontId="25" fillId="18" borderId="13" xfId="0" applyNumberFormat="1" applyFont="1" applyFill="1" applyBorder="1" applyAlignment="1">
      <alignment vertical="top"/>
    </xf>
    <xf numFmtId="0" fontId="25" fillId="0" borderId="0" xfId="0" applyFont="1" applyAlignment="1" applyProtection="1">
      <alignment vertical="top"/>
      <protection locked="0"/>
    </xf>
    <xf numFmtId="0" fontId="29" fillId="0" borderId="13" xfId="0" applyFont="1" applyBorder="1" applyAlignment="1">
      <alignment vertical="top"/>
    </xf>
    <xf numFmtId="0" fontId="46" fillId="14" borderId="0" xfId="0" applyFont="1" applyFill="1"/>
    <xf numFmtId="0" fontId="41" fillId="0" borderId="10" xfId="0" applyFont="1" applyBorder="1" applyAlignment="1">
      <alignment vertical="top"/>
    </xf>
    <xf numFmtId="190" fontId="30" fillId="0" borderId="13" xfId="0" applyNumberFormat="1" applyFont="1" applyBorder="1" applyAlignment="1">
      <alignment horizontal="center" vertical="top" wrapText="1"/>
    </xf>
    <xf numFmtId="165" fontId="25" fillId="14" borderId="17" xfId="0" applyNumberFormat="1" applyFont="1" applyFill="1" applyBorder="1" applyAlignment="1">
      <alignment vertical="top"/>
    </xf>
    <xf numFmtId="175" fontId="25" fillId="18" borderId="19" xfId="0" applyNumberFormat="1" applyFont="1" applyFill="1" applyBorder="1" applyAlignment="1">
      <alignment vertical="top"/>
    </xf>
    <xf numFmtId="3" fontId="20" fillId="0" borderId="0" xfId="0" applyNumberFormat="1" applyFont="1" applyAlignment="1">
      <alignment horizontal="center" vertical="center"/>
    </xf>
    <xf numFmtId="172" fontId="40" fillId="25" borderId="10" xfId="0" applyNumberFormat="1" applyFont="1" applyFill="1" applyBorder="1" applyAlignment="1">
      <alignment horizontal="center" vertical="center"/>
    </xf>
    <xf numFmtId="0" fontId="22" fillId="20" borderId="10" xfId="0" applyFont="1" applyFill="1" applyBorder="1" applyAlignment="1">
      <alignment vertical="top" wrapText="1"/>
    </xf>
    <xf numFmtId="178" fontId="25" fillId="17" borderId="19" xfId="0" applyNumberFormat="1" applyFont="1" applyFill="1" applyBorder="1"/>
    <xf numFmtId="49" fontId="25" fillId="18" borderId="17" xfId="0" applyNumberFormat="1" applyFont="1" applyFill="1" applyBorder="1"/>
    <xf numFmtId="0" fontId="55" fillId="0" borderId="19" xfId="0" applyFont="1" applyBorder="1" applyAlignment="1">
      <alignment horizontal="center"/>
    </xf>
    <xf numFmtId="0" fontId="36" fillId="0" borderId="19" xfId="0" applyFont="1" applyBorder="1"/>
    <xf numFmtId="0" fontId="30" fillId="0" borderId="13" xfId="0" applyFont="1" applyBorder="1" applyAlignment="1">
      <alignment horizontal="left" vertical="top" wrapText="1"/>
    </xf>
    <xf numFmtId="0" fontId="85" fillId="14" borderId="13" xfId="0" applyFont="1" applyFill="1" applyBorder="1"/>
    <xf numFmtId="175" fontId="34" fillId="18" borderId="17" xfId="0" applyNumberFormat="1" applyFont="1" applyFill="1" applyBorder="1" applyAlignment="1">
      <alignment vertical="top"/>
    </xf>
    <xf numFmtId="49" fontId="35" fillId="0" borderId="0" xfId="0" applyNumberFormat="1" applyFont="1" applyAlignment="1">
      <alignment horizontal="center"/>
    </xf>
    <xf numFmtId="0" fontId="24" fillId="16" borderId="13" xfId="0" applyFont="1" applyFill="1" applyBorder="1" applyAlignment="1">
      <alignment vertical="center" wrapText="1"/>
    </xf>
    <xf numFmtId="165" fontId="22" fillId="0" borderId="10" xfId="0" applyNumberFormat="1" applyFont="1" applyBorder="1" applyAlignment="1">
      <alignment horizontal="right"/>
    </xf>
    <xf numFmtId="170" fontId="25" fillId="17" borderId="19" xfId="0" applyNumberFormat="1" applyFont="1" applyFill="1" applyBorder="1" applyAlignment="1">
      <alignment horizontal="center" vertical="top" wrapText="1"/>
    </xf>
    <xf numFmtId="0" fontId="41" fillId="0" borderId="13" xfId="0" applyFont="1" applyBorder="1" applyAlignment="1">
      <alignment vertical="top"/>
    </xf>
    <xf numFmtId="0" fontId="20" fillId="0" borderId="0" xfId="0" applyFont="1" applyAlignment="1">
      <alignment vertical="center"/>
    </xf>
    <xf numFmtId="0" fontId="34" fillId="18" borderId="19" xfId="0" applyFont="1" applyFill="1" applyBorder="1" applyAlignment="1">
      <alignment horizontal="center" vertical="top"/>
    </xf>
    <xf numFmtId="0" fontId="46" fillId="0" borderId="18" xfId="0" applyFont="1" applyBorder="1" applyAlignment="1">
      <alignment horizontal="center" vertical="top"/>
    </xf>
    <xf numFmtId="190" fontId="30" fillId="0" borderId="19" xfId="0" applyNumberFormat="1" applyFont="1" applyBorder="1" applyAlignment="1">
      <alignment horizontal="center" vertical="top" wrapText="1"/>
    </xf>
    <xf numFmtId="165" fontId="26" fillId="18" borderId="13" xfId="0" applyNumberFormat="1" applyFont="1" applyFill="1" applyBorder="1"/>
    <xf numFmtId="0" fontId="38" fillId="18" borderId="13" xfId="0" applyFont="1" applyFill="1" applyBorder="1" applyAlignment="1">
      <alignment vertical="top" wrapText="1"/>
    </xf>
    <xf numFmtId="0" fontId="20" fillId="19" borderId="10" xfId="0" applyFont="1" applyFill="1" applyBorder="1" applyAlignment="1">
      <alignment horizontal="center"/>
    </xf>
    <xf numFmtId="189" fontId="46" fillId="0" borderId="15" xfId="44" applyNumberFormat="1" applyFont="1" applyFill="1" applyBorder="1" applyAlignment="1">
      <alignment horizontal="center" vertical="top"/>
    </xf>
    <xf numFmtId="0" fontId="44" fillId="0" borderId="0" xfId="0" applyFont="1"/>
    <xf numFmtId="173" fontId="25" fillId="18" borderId="13" xfId="0" applyNumberFormat="1" applyFont="1" applyFill="1" applyBorder="1" applyAlignment="1">
      <alignment vertical="top"/>
    </xf>
    <xf numFmtId="178" fontId="25" fillId="17" borderId="19" xfId="0" applyNumberFormat="1" applyFont="1" applyFill="1" applyBorder="1" applyAlignment="1">
      <alignment horizontal="center"/>
    </xf>
    <xf numFmtId="164" fontId="24" fillId="16" borderId="19" xfId="28" applyNumberFormat="1" applyFont="1" applyFill="1" applyBorder="1" applyAlignment="1">
      <alignment vertical="center"/>
    </xf>
    <xf numFmtId="0" fontId="36" fillId="0" borderId="17" xfId="0" applyFont="1" applyBorder="1" applyAlignment="1">
      <alignment horizontal="center" vertical="top"/>
    </xf>
    <xf numFmtId="0" fontId="25" fillId="14" borderId="0" xfId="0" applyFont="1" applyFill="1" applyAlignment="1">
      <alignment horizontal="right"/>
    </xf>
    <xf numFmtId="172" fontId="24" fillId="16" borderId="18" xfId="0" applyNumberFormat="1" applyFont="1" applyFill="1" applyBorder="1" applyAlignment="1">
      <alignment vertical="center"/>
    </xf>
    <xf numFmtId="0" fontId="24" fillId="16" borderId="10" xfId="0" applyFont="1" applyFill="1" applyBorder="1" applyAlignment="1">
      <alignment vertical="center"/>
    </xf>
    <xf numFmtId="49" fontId="46" fillId="0" borderId="10" xfId="0" applyNumberFormat="1" applyFont="1" applyBorder="1" applyAlignment="1">
      <alignment horizontal="center" vertical="center" wrapText="1"/>
    </xf>
    <xf numFmtId="175" fontId="22" fillId="20" borderId="10" xfId="0" applyNumberFormat="1" applyFont="1" applyFill="1" applyBorder="1" applyAlignment="1">
      <alignment vertical="top"/>
    </xf>
    <xf numFmtId="0" fontId="53" fillId="24" borderId="10" xfId="0" applyFont="1" applyFill="1" applyBorder="1" applyAlignment="1">
      <alignment horizontal="center" vertical="top"/>
    </xf>
    <xf numFmtId="22" fontId="25" fillId="14" borderId="13" xfId="0" applyNumberFormat="1" applyFont="1" applyFill="1" applyBorder="1"/>
    <xf numFmtId="0" fontId="86" fillId="0" borderId="25" xfId="0" applyFont="1" applyBorder="1"/>
    <xf numFmtId="0" fontId="25" fillId="18" borderId="17" xfId="0" applyFont="1" applyFill="1" applyBorder="1" applyAlignment="1">
      <alignment vertical="top" wrapText="1"/>
    </xf>
    <xf numFmtId="172" fontId="31" fillId="0" borderId="17" xfId="0" applyNumberFormat="1" applyFont="1" applyBorder="1" applyAlignment="1">
      <alignment horizontal="right"/>
    </xf>
    <xf numFmtId="49" fontId="63" fillId="0" borderId="0" xfId="0" applyNumberFormat="1" applyFont="1"/>
    <xf numFmtId="0" fontId="25" fillId="18" borderId="19" xfId="0" applyFont="1" applyFill="1" applyBorder="1" applyAlignment="1">
      <alignment horizontal="center" vertical="top" wrapText="1"/>
    </xf>
    <xf numFmtId="0" fontId="20" fillId="0" borderId="10" xfId="0" applyFont="1" applyBorder="1" applyAlignment="1">
      <alignment horizontal="center" vertical="center" wrapText="1"/>
    </xf>
    <xf numFmtId="0" fontId="46" fillId="14" borderId="10" xfId="0" applyFont="1" applyFill="1" applyBorder="1" applyAlignment="1">
      <alignment horizontal="left" vertical="center" wrapText="1"/>
    </xf>
    <xf numFmtId="179" fontId="42" fillId="23" borderId="10" xfId="0" applyNumberFormat="1" applyFont="1" applyFill="1" applyBorder="1" applyAlignment="1">
      <alignment horizontal="center"/>
    </xf>
    <xf numFmtId="0" fontId="41" fillId="20" borderId="10" xfId="0" applyFont="1" applyFill="1" applyBorder="1" applyAlignment="1">
      <alignment horizontal="center" vertical="center"/>
    </xf>
    <xf numFmtId="165" fontId="26" fillId="18" borderId="19" xfId="0" applyNumberFormat="1" applyFont="1" applyFill="1" applyBorder="1"/>
    <xf numFmtId="0" fontId="20" fillId="0" borderId="29" xfId="0" applyFont="1" applyBorder="1"/>
    <xf numFmtId="175" fontId="62" fillId="24" borderId="10" xfId="0" applyNumberFormat="1" applyFont="1" applyFill="1" applyBorder="1" applyAlignment="1">
      <alignment vertical="center"/>
    </xf>
    <xf numFmtId="164" fontId="24" fillId="19" borderId="19" xfId="28" applyNumberFormat="1" applyFont="1" applyFill="1" applyBorder="1" applyAlignment="1">
      <alignment vertical="center"/>
    </xf>
    <xf numFmtId="3" fontId="46" fillId="0" borderId="18" xfId="0" applyNumberFormat="1" applyFont="1" applyBorder="1" applyAlignment="1">
      <alignment vertical="top"/>
    </xf>
    <xf numFmtId="165" fontId="25" fillId="17" borderId="10" xfId="0" applyNumberFormat="1" applyFont="1" applyFill="1" applyBorder="1" applyAlignment="1">
      <alignment horizontal="right"/>
    </xf>
    <xf numFmtId="172" fontId="55" fillId="0" borderId="13" xfId="0" applyNumberFormat="1" applyFont="1" applyBorder="1" applyAlignment="1">
      <alignment horizontal="right"/>
    </xf>
    <xf numFmtId="168" fontId="25" fillId="18" borderId="17" xfId="0" applyNumberFormat="1" applyFont="1" applyFill="1" applyBorder="1" applyAlignment="1">
      <alignment vertical="top"/>
    </xf>
    <xf numFmtId="0" fontId="59" fillId="14" borderId="0" xfId="0" applyFont="1" applyFill="1" applyAlignment="1">
      <alignment horizontal="left"/>
    </xf>
    <xf numFmtId="0" fontId="63" fillId="0" borderId="0" xfId="0" applyFont="1"/>
    <xf numFmtId="0" fontId="62" fillId="24" borderId="10" xfId="0" applyFont="1" applyFill="1" applyBorder="1" applyAlignment="1">
      <alignment vertical="center"/>
    </xf>
    <xf numFmtId="175" fontId="38" fillId="18" borderId="13" xfId="0" applyNumberFormat="1" applyFont="1" applyFill="1" applyBorder="1" applyAlignment="1">
      <alignment vertical="top"/>
    </xf>
    <xf numFmtId="179" fontId="46" fillId="0" borderId="0" xfId="0" applyNumberFormat="1" applyFont="1" applyAlignment="1">
      <alignment horizontal="center"/>
    </xf>
    <xf numFmtId="0" fontId="25" fillId="14" borderId="17" xfId="0" applyFont="1" applyFill="1" applyBorder="1" applyAlignment="1">
      <alignment vertical="top"/>
    </xf>
    <xf numFmtId="0" fontId="1" fillId="0" borderId="35" xfId="0" applyFont="1" applyBorder="1"/>
    <xf numFmtId="170" fontId="25" fillId="18" borderId="17" xfId="0" applyNumberFormat="1" applyFont="1" applyFill="1" applyBorder="1" applyAlignment="1">
      <alignment vertical="top" wrapText="1"/>
    </xf>
    <xf numFmtId="186" fontId="36" fillId="30" borderId="13" xfId="44" applyNumberFormat="1" applyFont="1" applyFill="1" applyBorder="1"/>
    <xf numFmtId="0" fontId="35" fillId="14" borderId="10" xfId="0" applyFont="1" applyFill="1" applyBorder="1" applyAlignment="1">
      <alignment horizontal="left" vertical="center" wrapText="1"/>
    </xf>
    <xf numFmtId="170" fontId="25" fillId="18" borderId="19" xfId="0" applyNumberFormat="1" applyFont="1" applyFill="1" applyBorder="1" applyAlignment="1">
      <alignment horizontal="center" vertical="top" wrapText="1"/>
    </xf>
    <xf numFmtId="0" fontId="31" fillId="0" borderId="13" xfId="0" applyFont="1" applyBorder="1" applyAlignment="1">
      <alignment horizontal="left"/>
    </xf>
    <xf numFmtId="0" fontId="25" fillId="17" borderId="17" xfId="0" applyFont="1" applyFill="1" applyBorder="1" applyAlignment="1">
      <alignment horizontal="center" vertical="top" wrapText="1"/>
    </xf>
    <xf numFmtId="3" fontId="28" fillId="19" borderId="37" xfId="0" applyNumberFormat="1" applyFont="1" applyFill="1" applyBorder="1" applyAlignment="1">
      <alignment horizontal="right"/>
    </xf>
    <xf numFmtId="179" fontId="44" fillId="19" borderId="10" xfId="0" applyNumberFormat="1" applyFont="1" applyFill="1" applyBorder="1" applyAlignment="1">
      <alignment horizontal="center"/>
    </xf>
    <xf numFmtId="0" fontId="29" fillId="0" borderId="13" xfId="0" applyFont="1" applyBorder="1" applyAlignment="1">
      <alignment horizontal="center" vertical="top"/>
    </xf>
    <xf numFmtId="0" fontId="46" fillId="14" borderId="0" xfId="0" applyFont="1" applyFill="1" applyAlignment="1">
      <alignment horizontal="center"/>
    </xf>
    <xf numFmtId="0" fontId="22" fillId="22" borderId="10" xfId="0" applyFont="1" applyFill="1" applyBorder="1" applyAlignment="1">
      <alignment vertical="top"/>
    </xf>
    <xf numFmtId="0" fontId="41" fillId="0" borderId="10" xfId="0" applyFont="1" applyBorder="1" applyAlignment="1">
      <alignment horizontal="center" vertical="top"/>
    </xf>
    <xf numFmtId="0" fontId="58" fillId="18" borderId="13" xfId="0" applyFont="1" applyFill="1" applyBorder="1" applyAlignment="1">
      <alignment vertical="top" wrapText="1"/>
    </xf>
    <xf numFmtId="175" fontId="25" fillId="18" borderId="17" xfId="0" applyNumberFormat="1" applyFont="1" applyFill="1" applyBorder="1" applyAlignment="1">
      <alignment vertical="top"/>
    </xf>
    <xf numFmtId="0" fontId="28" fillId="29" borderId="37" xfId="0" applyFont="1" applyFill="1" applyBorder="1"/>
    <xf numFmtId="0" fontId="66" fillId="0" borderId="13" xfId="0" applyFont="1" applyBorder="1" applyAlignment="1">
      <alignment horizontal="left" vertical="top"/>
    </xf>
    <xf numFmtId="0" fontId="24" fillId="16" borderId="19" xfId="0" applyFont="1" applyFill="1" applyBorder="1" applyAlignment="1">
      <alignment vertical="center"/>
    </xf>
    <xf numFmtId="49" fontId="31" fillId="0" borderId="19" xfId="0" applyNumberFormat="1" applyFont="1" applyBorder="1" applyAlignment="1">
      <alignment horizontal="left"/>
    </xf>
    <xf numFmtId="0" fontId="36" fillId="0" borderId="17" xfId="0" applyFont="1" applyBorder="1"/>
    <xf numFmtId="49" fontId="25" fillId="18" borderId="13" xfId="0" quotePrefix="1" applyNumberFormat="1" applyFont="1" applyFill="1" applyBorder="1" applyAlignment="1">
      <alignment vertical="top"/>
    </xf>
    <xf numFmtId="0" fontId="25" fillId="0" borderId="40" xfId="0" applyFont="1" applyBorder="1" applyAlignment="1" applyProtection="1">
      <alignment vertical="top" wrapText="1"/>
      <protection locked="0"/>
    </xf>
    <xf numFmtId="0" fontId="56" fillId="0" borderId="36" xfId="0" applyFont="1" applyBorder="1" applyAlignment="1" applyProtection="1">
      <alignment horizontal="center" vertical="top" wrapText="1"/>
      <protection locked="0"/>
    </xf>
    <xf numFmtId="0" fontId="24" fillId="16" borderId="13" xfId="0" applyFont="1" applyFill="1" applyBorder="1" applyAlignment="1">
      <alignment horizontal="center" vertical="center" wrapText="1"/>
    </xf>
    <xf numFmtId="0" fontId="43" fillId="0" borderId="0" xfId="0" applyFont="1"/>
    <xf numFmtId="0" fontId="46" fillId="0" borderId="10" xfId="0" applyFont="1" applyBorder="1" applyAlignment="1">
      <alignment horizontal="center" vertical="center"/>
    </xf>
    <xf numFmtId="0" fontId="31" fillId="0" borderId="19" xfId="0" applyFont="1" applyBorder="1" applyAlignment="1">
      <alignment horizontal="left"/>
    </xf>
    <xf numFmtId="170" fontId="25" fillId="17" borderId="17" xfId="0" applyNumberFormat="1" applyFont="1" applyFill="1" applyBorder="1" applyAlignment="1">
      <alignment horizontal="center" vertical="top" wrapText="1"/>
    </xf>
    <xf numFmtId="1" fontId="24" fillId="16" borderId="13" xfId="0" applyNumberFormat="1" applyFont="1" applyFill="1" applyBorder="1" applyAlignment="1">
      <alignment horizontal="center" vertical="center" wrapText="1"/>
    </xf>
    <xf numFmtId="0" fontId="28" fillId="29" borderId="15" xfId="0" applyFont="1" applyFill="1" applyBorder="1"/>
    <xf numFmtId="0" fontId="46" fillId="27" borderId="10" xfId="0" applyFont="1" applyFill="1" applyBorder="1" applyAlignment="1">
      <alignment horizontal="center" vertical="center" wrapText="1"/>
    </xf>
    <xf numFmtId="0" fontId="88" fillId="0" borderId="13" xfId="0" applyFont="1" applyBorder="1" applyAlignment="1">
      <alignment vertical="top"/>
    </xf>
    <xf numFmtId="2" fontId="44" fillId="23" borderId="10" xfId="0" applyNumberFormat="1" applyFont="1" applyFill="1" applyBorder="1" applyAlignment="1">
      <alignment horizontal="center"/>
    </xf>
    <xf numFmtId="172" fontId="22" fillId="0" borderId="10" xfId="0" applyNumberFormat="1" applyFont="1" applyBorder="1" applyAlignment="1">
      <alignment horizontal="right"/>
    </xf>
    <xf numFmtId="0" fontId="28" fillId="29" borderId="37" xfId="0" applyFont="1" applyFill="1" applyBorder="1" applyAlignment="1">
      <alignment horizontal="center"/>
    </xf>
    <xf numFmtId="0" fontId="89" fillId="14" borderId="13" xfId="0" applyFont="1" applyFill="1" applyBorder="1"/>
    <xf numFmtId="0" fontId="42" fillId="0" borderId="10" xfId="0" applyFont="1" applyBorder="1" applyAlignment="1">
      <alignment horizontal="center" vertical="center"/>
    </xf>
    <xf numFmtId="178" fontId="25" fillId="17" borderId="17" xfId="0" applyNumberFormat="1" applyFont="1" applyFill="1" applyBorder="1" applyAlignment="1">
      <alignment horizontal="center"/>
    </xf>
    <xf numFmtId="172" fontId="31" fillId="0" borderId="13" xfId="0" applyNumberFormat="1" applyFont="1" applyBorder="1"/>
    <xf numFmtId="0" fontId="35" fillId="0" borderId="10" xfId="0" applyFont="1" applyBorder="1" applyAlignment="1">
      <alignment horizontal="center" vertical="center"/>
    </xf>
    <xf numFmtId="49" fontId="25" fillId="18" borderId="19" xfId="0" quotePrefix="1" applyNumberFormat="1" applyFont="1" applyFill="1" applyBorder="1" applyAlignment="1">
      <alignment vertical="top"/>
    </xf>
    <xf numFmtId="0" fontId="24" fillId="16" borderId="10" xfId="0" applyFont="1" applyFill="1" applyBorder="1" applyAlignment="1">
      <alignment horizontal="center" vertical="center"/>
    </xf>
    <xf numFmtId="0" fontId="46" fillId="27" borderId="31" xfId="0" applyFont="1" applyFill="1" applyBorder="1" applyAlignment="1">
      <alignment horizontal="center" vertical="center" wrapText="1"/>
    </xf>
    <xf numFmtId="179" fontId="44" fillId="21" borderId="10" xfId="0" applyNumberFormat="1" applyFont="1" applyFill="1" applyBorder="1" applyAlignment="1">
      <alignment horizontal="center"/>
    </xf>
    <xf numFmtId="0" fontId="90" fillId="14" borderId="0" xfId="0" applyFont="1" applyFill="1"/>
    <xf numFmtId="0" fontId="28" fillId="14" borderId="0" xfId="0" applyFont="1" applyFill="1" applyAlignment="1">
      <alignment horizontal="center"/>
    </xf>
    <xf numFmtId="0" fontId="41" fillId="0" borderId="17" xfId="0" applyFont="1" applyBorder="1" applyAlignment="1">
      <alignment vertical="top"/>
    </xf>
    <xf numFmtId="185" fontId="34" fillId="18" borderId="13" xfId="0" applyNumberFormat="1" applyFont="1" applyFill="1" applyBorder="1" applyAlignment="1">
      <alignment horizontal="center" vertical="top"/>
    </xf>
    <xf numFmtId="0" fontId="25" fillId="18" borderId="17" xfId="0" applyFont="1" applyFill="1" applyBorder="1" applyAlignment="1">
      <alignment horizontal="center" vertical="top" wrapText="1"/>
    </xf>
    <xf numFmtId="49" fontId="25" fillId="0" borderId="0" xfId="0" applyNumberFormat="1" applyFont="1"/>
    <xf numFmtId="0" fontId="28" fillId="0" borderId="0" xfId="0" applyFont="1" applyAlignment="1">
      <alignment wrapText="1"/>
    </xf>
    <xf numFmtId="49" fontId="35" fillId="0" borderId="35" xfId="0" applyNumberFormat="1" applyFont="1" applyBorder="1" applyAlignment="1">
      <alignment vertical="top" wrapText="1"/>
    </xf>
    <xf numFmtId="0" fontId="46" fillId="0" borderId="15" xfId="0" applyFont="1" applyBorder="1" applyAlignment="1">
      <alignment vertical="top"/>
    </xf>
    <xf numFmtId="164" fontId="24" fillId="19" borderId="17" xfId="28" applyNumberFormat="1" applyFont="1" applyFill="1" applyBorder="1" applyAlignment="1">
      <alignment vertical="center"/>
    </xf>
    <xf numFmtId="0" fontId="40" fillId="25" borderId="10" xfId="0" applyFont="1" applyFill="1" applyBorder="1" applyAlignment="1">
      <alignment vertical="center"/>
    </xf>
    <xf numFmtId="165" fontId="24" fillId="16" borderId="15" xfId="0" applyNumberFormat="1" applyFont="1" applyFill="1" applyBorder="1" applyAlignment="1">
      <alignment vertical="center"/>
    </xf>
    <xf numFmtId="0" fontId="28" fillId="29" borderId="15" xfId="0" applyFont="1" applyFill="1" applyBorder="1" applyAlignment="1">
      <alignment horizontal="center"/>
    </xf>
    <xf numFmtId="49" fontId="58" fillId="14" borderId="10" xfId="0" applyNumberFormat="1" applyFont="1" applyFill="1" applyBorder="1" applyAlignment="1">
      <alignment horizontal="center" vertical="center" wrapText="1"/>
    </xf>
    <xf numFmtId="0" fontId="29" fillId="0" borderId="10" xfId="0" applyFont="1" applyBorder="1" applyAlignment="1">
      <alignment horizontal="center"/>
    </xf>
    <xf numFmtId="0" fontId="28" fillId="19" borderId="37" xfId="0" applyFont="1" applyFill="1" applyBorder="1"/>
    <xf numFmtId="173" fontId="25" fillId="18" borderId="17" xfId="0" applyNumberFormat="1" applyFont="1" applyFill="1" applyBorder="1" applyAlignment="1">
      <alignment vertical="top"/>
    </xf>
    <xf numFmtId="0" fontId="28" fillId="0" borderId="13" xfId="0" applyFont="1" applyBorder="1"/>
    <xf numFmtId="49" fontId="34" fillId="14" borderId="19" xfId="0" applyNumberFormat="1" applyFont="1" applyFill="1" applyBorder="1" applyAlignment="1">
      <alignment vertical="top"/>
    </xf>
    <xf numFmtId="189" fontId="46" fillId="0" borderId="13" xfId="44" applyNumberFormat="1" applyFont="1" applyFill="1" applyBorder="1" applyAlignment="1">
      <alignment horizontal="center" vertical="top"/>
    </xf>
    <xf numFmtId="0" fontId="62" fillId="24" borderId="10" xfId="0" applyFont="1" applyFill="1" applyBorder="1" applyAlignment="1">
      <alignment horizontal="center" vertical="center"/>
    </xf>
    <xf numFmtId="0" fontId="36" fillId="17" borderId="13" xfId="0" applyFont="1" applyFill="1" applyBorder="1" applyAlignment="1">
      <alignment vertical="top"/>
    </xf>
    <xf numFmtId="0" fontId="28" fillId="0" borderId="18" xfId="0" applyFont="1" applyBorder="1" applyAlignment="1">
      <alignment vertical="top" wrapText="1"/>
    </xf>
    <xf numFmtId="49" fontId="25" fillId="0" borderId="35" xfId="0" applyNumberFormat="1" applyFont="1" applyBorder="1" applyAlignment="1">
      <alignment horizontal="right" vertical="top" wrapText="1"/>
    </xf>
    <xf numFmtId="0" fontId="26" fillId="18" borderId="13" xfId="0" applyFont="1" applyFill="1" applyBorder="1" applyAlignment="1">
      <alignment vertical="top" wrapText="1"/>
    </xf>
    <xf numFmtId="170" fontId="25" fillId="18" borderId="17" xfId="0" applyNumberFormat="1" applyFont="1" applyFill="1" applyBorder="1" applyAlignment="1">
      <alignment horizontal="center" vertical="top" wrapText="1"/>
    </xf>
    <xf numFmtId="0" fontId="25" fillId="14" borderId="13" xfId="0" applyFont="1" applyFill="1" applyBorder="1" applyAlignment="1">
      <alignment vertical="top" wrapText="1"/>
    </xf>
    <xf numFmtId="0" fontId="25" fillId="14" borderId="0" xfId="41" applyFont="1" applyFill="1" applyAlignment="1" applyProtection="1">
      <alignment vertical="top"/>
      <protection locked="0"/>
    </xf>
    <xf numFmtId="49" fontId="46" fillId="0" borderId="15" xfId="0" applyNumberFormat="1" applyFont="1" applyBorder="1" applyAlignment="1">
      <alignment horizontal="center" vertical="top" wrapText="1"/>
    </xf>
    <xf numFmtId="0" fontId="34" fillId="18" borderId="13" xfId="0" applyFont="1" applyFill="1" applyBorder="1" applyAlignment="1">
      <alignment horizontal="left" vertical="top" wrapText="1"/>
    </xf>
    <xf numFmtId="49" fontId="25" fillId="0" borderId="0" xfId="0" applyNumberFormat="1" applyFont="1" applyAlignment="1">
      <alignment horizontal="center"/>
    </xf>
    <xf numFmtId="179" fontId="42" fillId="0" borderId="0" xfId="0" applyNumberFormat="1" applyFont="1"/>
    <xf numFmtId="0" fontId="24" fillId="19" borderId="13" xfId="0" applyFont="1" applyFill="1" applyBorder="1" applyAlignment="1">
      <alignment horizontal="center" vertical="center"/>
    </xf>
    <xf numFmtId="0" fontId="25" fillId="14" borderId="0" xfId="0" applyFont="1" applyFill="1"/>
    <xf numFmtId="189" fontId="37" fillId="0" borderId="10" xfId="0" applyNumberFormat="1" applyFont="1" applyBorder="1" applyAlignment="1">
      <alignment vertical="center" wrapText="1"/>
    </xf>
    <xf numFmtId="0" fontId="24" fillId="16" borderId="17" xfId="0" applyFont="1" applyFill="1" applyBorder="1" applyAlignment="1">
      <alignment vertical="center"/>
    </xf>
    <xf numFmtId="0" fontId="28" fillId="0" borderId="19" xfId="0" applyFont="1" applyBorder="1"/>
    <xf numFmtId="0" fontId="24" fillId="16" borderId="19" xfId="0" applyFont="1" applyFill="1" applyBorder="1" applyAlignment="1">
      <alignment horizontal="center" vertical="center"/>
    </xf>
    <xf numFmtId="0" fontId="39" fillId="0" borderId="13" xfId="40" applyFont="1" applyBorder="1" applyAlignment="1">
      <alignment horizontal="left" vertical="top" wrapText="1"/>
    </xf>
    <xf numFmtId="165" fontId="25" fillId="18" borderId="13" xfId="0" applyNumberFormat="1" applyFont="1" applyFill="1" applyBorder="1" applyAlignment="1">
      <alignment vertical="top"/>
    </xf>
    <xf numFmtId="0" fontId="36" fillId="17" borderId="19" xfId="0" applyFont="1" applyFill="1" applyBorder="1" applyAlignment="1">
      <alignment vertical="top"/>
    </xf>
    <xf numFmtId="0" fontId="30" fillId="0" borderId="38" xfId="0" applyFont="1" applyBorder="1" applyAlignment="1">
      <alignment horizontal="center" vertical="top" wrapText="1"/>
    </xf>
    <xf numFmtId="1" fontId="24" fillId="16" borderId="19" xfId="0" applyNumberFormat="1" applyFont="1" applyFill="1" applyBorder="1" applyAlignment="1">
      <alignment horizontal="center" vertical="center"/>
    </xf>
    <xf numFmtId="0" fontId="25" fillId="0" borderId="40" xfId="0" applyFont="1" applyBorder="1" applyAlignment="1" applyProtection="1">
      <alignment horizontal="center" vertical="top" wrapText="1"/>
      <protection locked="0"/>
    </xf>
    <xf numFmtId="165" fontId="39" fillId="0" borderId="17" xfId="40" applyNumberFormat="1" applyFont="1" applyBorder="1" applyAlignment="1">
      <alignment horizontal="right"/>
    </xf>
    <xf numFmtId="0" fontId="46" fillId="14" borderId="0" xfId="0" applyFont="1" applyFill="1" applyAlignment="1">
      <alignment horizontal="center" vertical="center"/>
    </xf>
    <xf numFmtId="0" fontId="31" fillId="0" borderId="17" xfId="0" applyFont="1" applyBorder="1" applyAlignment="1">
      <alignment horizontal="left"/>
    </xf>
    <xf numFmtId="0" fontId="22" fillId="18" borderId="10" xfId="0" applyFont="1" applyFill="1" applyBorder="1" applyAlignment="1">
      <alignment vertical="top" wrapText="1"/>
    </xf>
    <xf numFmtId="0" fontId="56" fillId="0" borderId="10" xfId="40" applyFont="1" applyBorder="1"/>
    <xf numFmtId="0" fontId="29" fillId="0" borderId="19" xfId="0" applyFont="1" applyBorder="1" applyAlignment="1">
      <alignment vertical="top" wrapText="1"/>
    </xf>
    <xf numFmtId="49" fontId="31" fillId="0" borderId="13" xfId="0" applyNumberFormat="1" applyFont="1" applyBorder="1" applyAlignment="1">
      <alignment vertical="top"/>
    </xf>
    <xf numFmtId="175" fontId="26" fillId="18" borderId="13" xfId="0" applyNumberFormat="1" applyFont="1" applyFill="1" applyBorder="1" applyAlignment="1">
      <alignment vertical="top"/>
    </xf>
    <xf numFmtId="3" fontId="28" fillId="19" borderId="10" xfId="0" applyNumberFormat="1" applyFont="1" applyFill="1" applyBorder="1" applyAlignment="1">
      <alignment horizontal="right"/>
    </xf>
    <xf numFmtId="0" fontId="31" fillId="17" borderId="19" xfId="0" applyFont="1" applyFill="1" applyBorder="1" applyAlignment="1">
      <alignment horizontal="center"/>
    </xf>
    <xf numFmtId="0" fontId="31" fillId="0" borderId="13" xfId="0" applyFont="1" applyBorder="1" applyAlignment="1">
      <alignment vertical="top"/>
    </xf>
    <xf numFmtId="188" fontId="42" fillId="19" borderId="10" xfId="0" applyNumberFormat="1" applyFont="1" applyFill="1" applyBorder="1" applyAlignment="1">
      <alignment horizontal="center"/>
    </xf>
    <xf numFmtId="165" fontId="25" fillId="18" borderId="19" xfId="0" applyNumberFormat="1" applyFont="1" applyFill="1" applyBorder="1" applyAlignment="1">
      <alignment vertical="top"/>
    </xf>
    <xf numFmtId="49" fontId="25" fillId="14" borderId="0" xfId="0" applyNumberFormat="1" applyFont="1" applyFill="1"/>
    <xf numFmtId="167" fontId="25" fillId="14" borderId="19" xfId="0" applyNumberFormat="1" applyFont="1" applyFill="1" applyBorder="1" applyAlignment="1">
      <alignment vertical="top"/>
    </xf>
    <xf numFmtId="0" fontId="25" fillId="0" borderId="27" xfId="0" applyFont="1" applyBorder="1"/>
    <xf numFmtId="0" fontId="41" fillId="0" borderId="19" xfId="0" applyFont="1" applyBorder="1" applyAlignment="1">
      <alignment vertical="top" wrapText="1"/>
    </xf>
    <xf numFmtId="0" fontId="20" fillId="0" borderId="0" xfId="0" applyFont="1" applyAlignment="1">
      <alignment horizontal="left"/>
    </xf>
    <xf numFmtId="49" fontId="31" fillId="0" borderId="19" xfId="0" applyNumberFormat="1" applyFont="1" applyBorder="1" applyAlignment="1">
      <alignment vertical="top"/>
    </xf>
    <xf numFmtId="0" fontId="56" fillId="0" borderId="10" xfId="40" applyFont="1" applyBorder="1" applyAlignment="1">
      <alignment horizontal="center"/>
    </xf>
    <xf numFmtId="49" fontId="35" fillId="0" borderId="35" xfId="0" applyNumberFormat="1" applyFont="1" applyBorder="1" applyAlignment="1">
      <alignment horizontal="center" vertical="top" wrapText="1"/>
    </xf>
    <xf numFmtId="0" fontId="46" fillId="0" borderId="15" xfId="0" applyFont="1" applyBorder="1" applyAlignment="1">
      <alignment horizontal="center" vertical="top"/>
    </xf>
    <xf numFmtId="165" fontId="81" fillId="18" borderId="13" xfId="0" applyNumberFormat="1" applyFont="1" applyFill="1" applyBorder="1" applyAlignment="1">
      <alignment vertical="top"/>
    </xf>
    <xf numFmtId="0" fontId="26" fillId="0" borderId="13" xfId="0" applyFont="1" applyBorder="1" applyAlignment="1">
      <alignment horizontal="right" vertical="top"/>
    </xf>
    <xf numFmtId="0" fontId="40" fillId="25" borderId="10" xfId="0" applyFont="1" applyFill="1" applyBorder="1" applyAlignment="1">
      <alignment horizontal="center" vertical="center"/>
    </xf>
    <xf numFmtId="0" fontId="35" fillId="20" borderId="10" xfId="0" applyFont="1" applyFill="1" applyBorder="1" applyAlignment="1">
      <alignment horizontal="center" vertical="top"/>
    </xf>
    <xf numFmtId="0" fontId="31" fillId="0" borderId="17" xfId="0" applyFont="1" applyBorder="1" applyAlignment="1">
      <alignment vertical="top" wrapText="1"/>
    </xf>
    <xf numFmtId="3" fontId="42" fillId="0" borderId="0" xfId="0" applyNumberFormat="1" applyFont="1" applyAlignment="1">
      <alignment horizontal="center" vertical="center"/>
    </xf>
    <xf numFmtId="0" fontId="35" fillId="0" borderId="25" xfId="0" applyFont="1" applyBorder="1" applyAlignment="1">
      <alignment horizontal="center" vertical="center" wrapText="1"/>
    </xf>
    <xf numFmtId="0" fontId="34" fillId="18" borderId="17" xfId="0" applyFont="1" applyFill="1" applyBorder="1" applyAlignment="1">
      <alignment horizontal="left" vertical="top" wrapText="1"/>
    </xf>
    <xf numFmtId="184" fontId="34" fillId="17" borderId="13" xfId="0" applyNumberFormat="1" applyFont="1" applyFill="1" applyBorder="1" applyAlignment="1">
      <alignment horizontal="right" vertical="top"/>
    </xf>
    <xf numFmtId="49" fontId="35" fillId="0" borderId="20" xfId="0" applyNumberFormat="1" applyFont="1" applyBorder="1" applyAlignment="1">
      <alignment vertical="top" wrapText="1"/>
    </xf>
    <xf numFmtId="165" fontId="30" fillId="0" borderId="13" xfId="40" applyNumberFormat="1" applyFont="1" applyBorder="1" applyAlignment="1">
      <alignment horizontal="right"/>
    </xf>
    <xf numFmtId="0" fontId="25" fillId="0" borderId="27" xfId="0" applyFont="1" applyBorder="1" applyAlignment="1">
      <alignment horizontal="center"/>
    </xf>
    <xf numFmtId="0" fontId="58" fillId="18" borderId="19" xfId="0" applyFont="1" applyFill="1" applyBorder="1" applyAlignment="1">
      <alignment horizontal="center" vertical="top"/>
    </xf>
    <xf numFmtId="0" fontId="92" fillId="14" borderId="18" xfId="0" applyFont="1" applyFill="1" applyBorder="1"/>
    <xf numFmtId="3" fontId="28" fillId="19" borderId="19" xfId="0" applyNumberFormat="1" applyFont="1" applyFill="1" applyBorder="1" applyAlignment="1">
      <alignment horizontal="right"/>
    </xf>
    <xf numFmtId="0" fontId="31" fillId="0" borderId="0" xfId="0" applyFont="1" applyAlignment="1">
      <alignment vertical="top" wrapText="1"/>
    </xf>
    <xf numFmtId="0" fontId="28" fillId="18" borderId="0" xfId="0" applyFont="1" applyFill="1" applyAlignment="1">
      <alignment vertical="top"/>
    </xf>
    <xf numFmtId="0" fontId="28" fillId="14" borderId="19" xfId="0" applyFont="1" applyFill="1" applyBorder="1"/>
    <xf numFmtId="0" fontId="25" fillId="0" borderId="21" xfId="0" applyFont="1" applyBorder="1" applyAlignment="1">
      <alignment horizontal="left" vertical="top" wrapText="1"/>
    </xf>
    <xf numFmtId="0" fontId="46" fillId="0" borderId="13" xfId="0" applyFont="1" applyBorder="1" applyAlignment="1">
      <alignment vertical="top"/>
    </xf>
    <xf numFmtId="3" fontId="46" fillId="0" borderId="15" xfId="0" applyNumberFormat="1" applyFont="1" applyBorder="1" applyAlignment="1">
      <alignment vertical="top"/>
    </xf>
    <xf numFmtId="0" fontId="35" fillId="0" borderId="20" xfId="0" applyFont="1" applyBorder="1" applyAlignment="1">
      <alignment vertical="top" wrapText="1"/>
    </xf>
    <xf numFmtId="172" fontId="24" fillId="19" borderId="15" xfId="0" applyNumberFormat="1" applyFont="1" applyFill="1" applyBorder="1" applyAlignment="1">
      <alignment vertical="center"/>
    </xf>
    <xf numFmtId="0" fontId="24" fillId="16" borderId="17" xfId="0" applyFont="1" applyFill="1" applyBorder="1" applyAlignment="1">
      <alignment horizontal="center" vertical="center"/>
    </xf>
    <xf numFmtId="165" fontId="25" fillId="17" borderId="13" xfId="0" applyNumberFormat="1" applyFont="1" applyFill="1" applyBorder="1"/>
    <xf numFmtId="0" fontId="24" fillId="16" borderId="18" xfId="0" applyFont="1" applyFill="1" applyBorder="1" applyAlignment="1">
      <alignment vertical="center"/>
    </xf>
    <xf numFmtId="3" fontId="28" fillId="0" borderId="13" xfId="0" applyNumberFormat="1" applyFont="1" applyBorder="1"/>
    <xf numFmtId="0" fontId="36" fillId="17" borderId="17" xfId="0" applyFont="1" applyFill="1" applyBorder="1" applyAlignment="1">
      <alignment vertical="top"/>
    </xf>
    <xf numFmtId="0" fontId="41" fillId="20" borderId="10" xfId="0" applyFont="1" applyFill="1" applyBorder="1" applyAlignment="1">
      <alignment horizontal="center" vertical="top"/>
    </xf>
    <xf numFmtId="0" fontId="29" fillId="0" borderId="17" xfId="0" applyFont="1" applyBorder="1" applyAlignment="1">
      <alignment vertical="top" wrapText="1"/>
    </xf>
    <xf numFmtId="165" fontId="36" fillId="0" borderId="19" xfId="0" applyNumberFormat="1" applyFont="1" applyBorder="1" applyAlignment="1">
      <alignment vertical="top"/>
    </xf>
    <xf numFmtId="0" fontId="24" fillId="19" borderId="17" xfId="0" applyFont="1" applyFill="1" applyBorder="1" applyAlignment="1">
      <alignment horizontal="center" vertical="center"/>
    </xf>
    <xf numFmtId="0" fontId="25" fillId="14" borderId="18" xfId="0" applyFont="1" applyFill="1" applyBorder="1" applyAlignment="1">
      <alignment horizontal="left"/>
    </xf>
    <xf numFmtId="182" fontId="22" fillId="0" borderId="16" xfId="0" applyNumberFormat="1" applyFont="1" applyBorder="1" applyAlignment="1" applyProtection="1">
      <alignment horizontal="right" vertical="top" wrapText="1"/>
      <protection locked="0"/>
    </xf>
    <xf numFmtId="169" fontId="25" fillId="18" borderId="13" xfId="0" applyNumberFormat="1" applyFont="1" applyFill="1" applyBorder="1" applyAlignment="1">
      <alignment vertical="top"/>
    </xf>
    <xf numFmtId="0" fontId="28" fillId="14" borderId="19" xfId="0" applyFont="1" applyFill="1" applyBorder="1" applyAlignment="1">
      <alignment horizontal="center"/>
    </xf>
    <xf numFmtId="182" fontId="25" fillId="0" borderId="40" xfId="0" applyNumberFormat="1" applyFont="1" applyBorder="1" applyAlignment="1" applyProtection="1">
      <alignment vertical="top" wrapText="1"/>
      <protection locked="0"/>
    </xf>
    <xf numFmtId="49" fontId="35" fillId="0" borderId="10" xfId="0" applyNumberFormat="1" applyFont="1" applyBorder="1" applyAlignment="1">
      <alignment horizontal="center" vertical="center" wrapText="1"/>
    </xf>
    <xf numFmtId="49" fontId="25" fillId="0" borderId="35" xfId="0" applyNumberFormat="1" applyFont="1" applyBorder="1" applyAlignment="1">
      <alignment vertical="top" wrapText="1"/>
    </xf>
    <xf numFmtId="175" fontId="34" fillId="18" borderId="13" xfId="0" applyNumberFormat="1" applyFont="1" applyFill="1" applyBorder="1" applyAlignment="1">
      <alignment horizontal="right" vertical="top"/>
    </xf>
    <xf numFmtId="173" fontId="25" fillId="18" borderId="17" xfId="0" applyNumberFormat="1" applyFont="1" applyFill="1" applyBorder="1"/>
    <xf numFmtId="173" fontId="22" fillId="18" borderId="10" xfId="0" applyNumberFormat="1" applyFont="1" applyFill="1" applyBorder="1" applyAlignment="1">
      <alignment vertical="top"/>
    </xf>
    <xf numFmtId="0" fontId="74" fillId="14" borderId="0" xfId="0" applyFont="1" applyFill="1"/>
    <xf numFmtId="0" fontId="39" fillId="0" borderId="17" xfId="40" applyFont="1" applyBorder="1" applyAlignment="1">
      <alignment horizontal="left" vertical="top" wrapText="1"/>
    </xf>
    <xf numFmtId="192" fontId="86" fillId="0" borderId="25" xfId="0" applyNumberFormat="1" applyFont="1" applyBorder="1" applyAlignment="1">
      <alignment horizontal="right"/>
    </xf>
    <xf numFmtId="0" fontId="31" fillId="0" borderId="13" xfId="0" applyFont="1" applyBorder="1" applyAlignment="1">
      <alignment horizontal="center" vertical="top"/>
    </xf>
    <xf numFmtId="165" fontId="25" fillId="18" borderId="17" xfId="0" applyNumberFormat="1" applyFont="1" applyFill="1" applyBorder="1" applyAlignment="1">
      <alignment vertical="top"/>
    </xf>
    <xf numFmtId="0" fontId="30" fillId="0" borderId="19" xfId="40" applyFont="1" applyBorder="1" applyAlignment="1">
      <alignment horizontal="center"/>
    </xf>
    <xf numFmtId="167" fontId="25" fillId="14" borderId="17" xfId="0" applyNumberFormat="1" applyFont="1" applyFill="1" applyBorder="1" applyAlignment="1">
      <alignment vertical="top"/>
    </xf>
    <xf numFmtId="0" fontId="34" fillId="18" borderId="13" xfId="0" applyFont="1" applyFill="1" applyBorder="1" applyAlignment="1">
      <alignment horizontal="right" vertical="top"/>
    </xf>
    <xf numFmtId="167" fontId="25" fillId="14" borderId="19" xfId="0" applyNumberFormat="1" applyFont="1" applyFill="1" applyBorder="1" applyAlignment="1">
      <alignment horizontal="center" vertical="top"/>
    </xf>
    <xf numFmtId="0" fontId="76" fillId="20" borderId="10" xfId="0" applyFont="1" applyFill="1" applyBorder="1" applyAlignment="1">
      <alignment vertical="top"/>
    </xf>
    <xf numFmtId="0" fontId="66" fillId="0" borderId="13" xfId="0" applyFont="1" applyBorder="1" applyAlignment="1">
      <alignment vertical="top"/>
    </xf>
    <xf numFmtId="0" fontId="80" fillId="18" borderId="13" xfId="0" applyFont="1" applyFill="1" applyBorder="1" applyAlignment="1">
      <alignment vertical="top"/>
    </xf>
    <xf numFmtId="0" fontId="42" fillId="21" borderId="10" xfId="0" applyFont="1" applyFill="1" applyBorder="1" applyAlignment="1">
      <alignment horizontal="center"/>
    </xf>
    <xf numFmtId="0" fontId="1" fillId="0" borderId="27" xfId="0" applyFont="1" applyBorder="1"/>
    <xf numFmtId="0" fontId="82" fillId="16" borderId="0" xfId="0" applyFont="1" applyFill="1" applyAlignment="1">
      <alignment vertical="center"/>
    </xf>
    <xf numFmtId="0" fontId="36" fillId="0" borderId="13" xfId="40" applyFont="1" applyBorder="1"/>
    <xf numFmtId="165" fontId="25" fillId="17" borderId="19" xfId="0" applyNumberFormat="1" applyFont="1" applyFill="1" applyBorder="1" applyAlignment="1">
      <alignment vertical="top" wrapText="1"/>
    </xf>
    <xf numFmtId="165" fontId="25" fillId="18" borderId="13" xfId="0" applyNumberFormat="1" applyFont="1" applyFill="1" applyBorder="1"/>
    <xf numFmtId="0" fontId="35" fillId="14" borderId="0" xfId="0" applyFont="1" applyFill="1" applyAlignment="1">
      <alignment horizontal="center" vertical="center"/>
    </xf>
    <xf numFmtId="0" fontId="35" fillId="14" borderId="28" xfId="0" applyFont="1" applyFill="1" applyBorder="1" applyAlignment="1">
      <alignment horizontal="center" vertical="center"/>
    </xf>
    <xf numFmtId="0" fontId="25" fillId="14" borderId="19" xfId="0" applyFont="1" applyFill="1" applyBorder="1" applyAlignment="1">
      <alignment horizontal="center" vertical="top"/>
    </xf>
    <xf numFmtId="172" fontId="22" fillId="0" borderId="13" xfId="0" applyNumberFormat="1" applyFont="1" applyBorder="1"/>
    <xf numFmtId="0" fontId="34" fillId="18" borderId="19" xfId="0" applyFont="1" applyFill="1" applyBorder="1" applyAlignment="1">
      <alignment horizontal="right" vertical="top"/>
    </xf>
    <xf numFmtId="0" fontId="93" fillId="14" borderId="18" xfId="0" applyFont="1" applyFill="1" applyBorder="1"/>
    <xf numFmtId="49" fontId="35" fillId="0" borderId="20" xfId="0" applyNumberFormat="1" applyFont="1" applyBorder="1" applyAlignment="1">
      <alignment horizontal="center" vertical="top" wrapText="1"/>
    </xf>
    <xf numFmtId="0" fontId="58" fillId="18" borderId="17" xfId="0" applyFont="1" applyFill="1" applyBorder="1" applyAlignment="1">
      <alignment horizontal="center" vertical="top"/>
    </xf>
    <xf numFmtId="0" fontId="25" fillId="18" borderId="0" xfId="0" applyFont="1" applyFill="1" applyAlignment="1">
      <alignment horizontal="right"/>
    </xf>
    <xf numFmtId="0" fontId="76" fillId="22" borderId="10" xfId="0" applyFont="1" applyFill="1" applyBorder="1" applyAlignment="1">
      <alignment vertical="top"/>
    </xf>
    <xf numFmtId="49" fontId="31" fillId="0" borderId="13" xfId="0" applyNumberFormat="1" applyFont="1" applyBorder="1"/>
    <xf numFmtId="0" fontId="31" fillId="0" borderId="0" xfId="0" applyFont="1" applyAlignment="1">
      <alignment wrapText="1"/>
    </xf>
    <xf numFmtId="0" fontId="94" fillId="14" borderId="0" xfId="35" applyFont="1" applyFill="1" applyAlignment="1">
      <alignment vertical="top"/>
    </xf>
    <xf numFmtId="0" fontId="35" fillId="0" borderId="35" xfId="0" applyFont="1" applyBorder="1"/>
    <xf numFmtId="166" fontId="25" fillId="17" borderId="19" xfId="0" applyNumberFormat="1" applyFont="1" applyFill="1" applyBorder="1"/>
    <xf numFmtId="0" fontId="46" fillId="0" borderId="13" xfId="0" applyFont="1" applyBorder="1" applyAlignment="1">
      <alignment horizontal="center" vertical="top"/>
    </xf>
    <xf numFmtId="49" fontId="26" fillId="0" borderId="13" xfId="0" applyNumberFormat="1" applyFont="1" applyBorder="1" applyAlignment="1">
      <alignment vertical="top"/>
    </xf>
    <xf numFmtId="0" fontId="95" fillId="0" borderId="10" xfId="0" applyFont="1" applyBorder="1"/>
    <xf numFmtId="190" fontId="39" fillId="0" borderId="13" xfId="0" applyNumberFormat="1" applyFont="1" applyBorder="1" applyAlignment="1">
      <alignment horizontal="center" vertical="top" wrapText="1"/>
    </xf>
    <xf numFmtId="0" fontId="31" fillId="0" borderId="13" xfId="0" applyFont="1" applyBorder="1"/>
    <xf numFmtId="0" fontId="36" fillId="0" borderId="13" xfId="40" applyFont="1" applyBorder="1" applyAlignment="1">
      <alignment horizontal="center"/>
    </xf>
    <xf numFmtId="165" fontId="25" fillId="18" borderId="19" xfId="0" applyNumberFormat="1" applyFont="1" applyFill="1" applyBorder="1"/>
    <xf numFmtId="0" fontId="24" fillId="16" borderId="18" xfId="0" applyFont="1" applyFill="1" applyBorder="1" applyAlignment="1">
      <alignment horizontal="center" vertical="center"/>
    </xf>
    <xf numFmtId="165" fontId="25" fillId="18" borderId="13" xfId="0" applyNumberFormat="1" applyFont="1" applyFill="1" applyBorder="1" applyAlignment="1">
      <alignment horizontal="center"/>
    </xf>
    <xf numFmtId="0" fontId="46" fillId="14" borderId="10" xfId="0" applyFont="1" applyFill="1" applyBorder="1" applyAlignment="1">
      <alignment horizontal="center" vertical="center" wrapText="1"/>
    </xf>
    <xf numFmtId="172" fontId="24" fillId="16" borderId="13" xfId="0" applyNumberFormat="1" applyFont="1" applyFill="1" applyBorder="1" applyAlignment="1">
      <alignment vertical="center"/>
    </xf>
    <xf numFmtId="0" fontId="31" fillId="0" borderId="10" xfId="0" applyFont="1" applyBorder="1" applyAlignment="1">
      <alignment horizontal="center"/>
    </xf>
    <xf numFmtId="185" fontId="58" fillId="18" borderId="13" xfId="0" applyNumberFormat="1" applyFont="1" applyFill="1" applyBorder="1" applyAlignment="1">
      <alignment horizontal="center" vertical="top"/>
    </xf>
    <xf numFmtId="49" fontId="78" fillId="14" borderId="13" xfId="0" applyNumberFormat="1" applyFont="1" applyFill="1" applyBorder="1" applyAlignment="1">
      <alignment vertical="top"/>
    </xf>
    <xf numFmtId="49" fontId="31" fillId="0" borderId="19" xfId="0" applyNumberFormat="1" applyFont="1" applyBorder="1"/>
    <xf numFmtId="172" fontId="25" fillId="17" borderId="13" xfId="0" applyNumberFormat="1" applyFont="1" applyFill="1" applyBorder="1"/>
    <xf numFmtId="165" fontId="36" fillId="0" borderId="17" xfId="0" applyNumberFormat="1" applyFont="1" applyBorder="1" applyAlignment="1">
      <alignment vertical="top"/>
    </xf>
    <xf numFmtId="0" fontId="46" fillId="27" borderId="29" xfId="0" applyFont="1" applyFill="1" applyBorder="1" applyAlignment="1">
      <alignment horizontal="center" vertical="center" wrapText="1"/>
    </xf>
    <xf numFmtId="165" fontId="53" fillId="24" borderId="10" xfId="0" applyNumberFormat="1" applyFont="1" applyFill="1" applyBorder="1" applyAlignment="1">
      <alignment vertical="top"/>
    </xf>
    <xf numFmtId="49" fontId="25" fillId="0" borderId="35" xfId="0" applyNumberFormat="1" applyFont="1" applyBorder="1" applyAlignment="1">
      <alignment horizontal="center" vertical="top" wrapText="1"/>
    </xf>
    <xf numFmtId="0" fontId="35" fillId="14" borderId="10" xfId="0" applyFont="1" applyFill="1" applyBorder="1" applyAlignment="1">
      <alignment horizontal="center" vertical="center" wrapText="1"/>
    </xf>
    <xf numFmtId="0" fontId="31" fillId="0" borderId="13" xfId="0" applyFont="1" applyBorder="1" applyAlignment="1">
      <alignment horizontal="center"/>
    </xf>
    <xf numFmtId="165" fontId="25" fillId="18" borderId="19" xfId="0" applyNumberFormat="1" applyFont="1" applyFill="1" applyBorder="1" applyAlignment="1">
      <alignment horizontal="center"/>
    </xf>
    <xf numFmtId="49" fontId="28" fillId="18" borderId="0" xfId="0" applyNumberFormat="1" applyFont="1" applyFill="1"/>
    <xf numFmtId="167" fontId="25" fillId="14" borderId="17" xfId="0" applyNumberFormat="1" applyFont="1" applyFill="1" applyBorder="1" applyAlignment="1">
      <alignment horizontal="center" vertical="top"/>
    </xf>
    <xf numFmtId="179" fontId="24" fillId="16" borderId="13" xfId="0" applyNumberFormat="1" applyFont="1" applyFill="1" applyBorder="1" applyAlignment="1">
      <alignment horizontal="center" vertical="center" wrapText="1"/>
    </xf>
    <xf numFmtId="0" fontId="22" fillId="0" borderId="10" xfId="0" applyFont="1" applyBorder="1" applyAlignment="1">
      <alignment vertical="top"/>
    </xf>
    <xf numFmtId="3" fontId="56" fillId="0" borderId="10" xfId="0" applyNumberFormat="1" applyFont="1" applyBorder="1" applyAlignment="1">
      <alignment horizontal="right" vertical="top" wrapText="1"/>
    </xf>
    <xf numFmtId="174" fontId="36" fillId="0" borderId="19" xfId="0" applyNumberFormat="1" applyFont="1" applyBorder="1" applyAlignment="1">
      <alignment vertical="top"/>
    </xf>
    <xf numFmtId="0" fontId="28" fillId="14" borderId="0" xfId="0" quotePrefix="1" applyFont="1" applyFill="1"/>
    <xf numFmtId="0" fontId="25" fillId="0" borderId="25" xfId="0" applyFont="1" applyBorder="1" applyAlignment="1">
      <alignment horizontal="center" vertical="center" wrapText="1"/>
    </xf>
    <xf numFmtId="172" fontId="25" fillId="17" borderId="19" xfId="0" applyNumberFormat="1" applyFont="1" applyFill="1" applyBorder="1"/>
    <xf numFmtId="0" fontId="29" fillId="31" borderId="10" xfId="0" applyFont="1" applyFill="1" applyBorder="1" applyAlignment="1">
      <alignment horizontal="center" vertical="center"/>
    </xf>
    <xf numFmtId="0" fontId="28" fillId="18" borderId="0" xfId="0" applyFont="1" applyFill="1"/>
    <xf numFmtId="0" fontId="28" fillId="0" borderId="0" xfId="0" applyFont="1" applyAlignment="1">
      <alignment vertical="top"/>
    </xf>
    <xf numFmtId="166" fontId="25" fillId="18" borderId="19" xfId="0" applyNumberFormat="1" applyFont="1" applyFill="1" applyBorder="1"/>
    <xf numFmtId="49" fontId="25" fillId="0" borderId="27" xfId="0" applyNumberFormat="1" applyFont="1" applyBorder="1" applyAlignment="1">
      <alignment horizontal="right" vertical="top" wrapText="1"/>
    </xf>
    <xf numFmtId="0" fontId="31" fillId="0" borderId="19" xfId="0" applyFont="1" applyBorder="1" applyAlignment="1">
      <alignment vertical="top" wrapText="1"/>
    </xf>
    <xf numFmtId="0" fontId="30" fillId="0" borderId="0" xfId="0" applyFont="1" applyAlignment="1">
      <alignment horizontal="center" vertical="top" wrapText="1"/>
    </xf>
    <xf numFmtId="165" fontId="25" fillId="17" borderId="17" xfId="0" applyNumberFormat="1" applyFont="1" applyFill="1" applyBorder="1" applyAlignment="1">
      <alignment vertical="top" wrapText="1"/>
    </xf>
    <xf numFmtId="0" fontId="28" fillId="18" borderId="19" xfId="0" applyFont="1" applyFill="1" applyBorder="1" applyAlignment="1">
      <alignment vertical="top"/>
    </xf>
    <xf numFmtId="0" fontId="34" fillId="18" borderId="10" xfId="0" applyFont="1" applyFill="1" applyBorder="1" applyAlignment="1">
      <alignment vertical="top"/>
    </xf>
    <xf numFmtId="0" fontId="97" fillId="14" borderId="0" xfId="0" applyFont="1" applyFill="1"/>
    <xf numFmtId="0" fontId="25" fillId="14" borderId="17" xfId="0" applyFont="1" applyFill="1" applyBorder="1" applyAlignment="1">
      <alignment horizontal="center" vertical="top"/>
    </xf>
    <xf numFmtId="165" fontId="29" fillId="0" borderId="13" xfId="0" applyNumberFormat="1" applyFont="1" applyBorder="1" applyAlignment="1">
      <alignment vertical="top"/>
    </xf>
    <xf numFmtId="167" fontId="26" fillId="14" borderId="13" xfId="0" applyNumberFormat="1" applyFont="1" applyFill="1" applyBorder="1" applyAlignment="1">
      <alignment vertical="top"/>
    </xf>
    <xf numFmtId="165" fontId="41" fillId="0" borderId="10" xfId="0" applyNumberFormat="1" applyFont="1" applyBorder="1" applyAlignment="1">
      <alignment vertical="top"/>
    </xf>
    <xf numFmtId="0" fontId="59" fillId="0" borderId="0" xfId="0" applyFont="1"/>
    <xf numFmtId="0" fontId="41" fillId="31" borderId="10" xfId="0" applyFont="1" applyFill="1" applyBorder="1" applyAlignment="1">
      <alignment horizontal="center" vertical="center"/>
    </xf>
    <xf numFmtId="49" fontId="26" fillId="14" borderId="13" xfId="0" applyNumberFormat="1" applyFont="1" applyFill="1" applyBorder="1" applyAlignment="1">
      <alignment vertical="top"/>
    </xf>
    <xf numFmtId="166" fontId="25" fillId="17" borderId="17" xfId="0" applyNumberFormat="1" applyFont="1" applyFill="1" applyBorder="1"/>
    <xf numFmtId="0" fontId="44" fillId="16" borderId="0" xfId="0" applyFont="1" applyFill="1" applyAlignment="1">
      <alignment vertical="center"/>
    </xf>
    <xf numFmtId="0" fontId="34" fillId="18" borderId="13" xfId="0" applyFont="1" applyFill="1" applyBorder="1" applyAlignment="1">
      <alignment vertical="top"/>
    </xf>
    <xf numFmtId="179" fontId="44" fillId="0" borderId="0" xfId="0" applyNumberFormat="1" applyFont="1"/>
    <xf numFmtId="0" fontId="36" fillId="0" borderId="17" xfId="40" applyFont="1" applyBorder="1"/>
    <xf numFmtId="173" fontId="22" fillId="18" borderId="10" xfId="0" applyNumberFormat="1" applyFont="1" applyFill="1" applyBorder="1"/>
    <xf numFmtId="0" fontId="20" fillId="0" borderId="0" xfId="0" applyFont="1"/>
    <xf numFmtId="165" fontId="25" fillId="18" borderId="17" xfId="0" applyNumberFormat="1" applyFont="1" applyFill="1" applyBorder="1"/>
    <xf numFmtId="0" fontId="20" fillId="0" borderId="28" xfId="0" applyFont="1" applyBorder="1"/>
    <xf numFmtId="165" fontId="29" fillId="0" borderId="19" xfId="0" applyNumberFormat="1" applyFont="1" applyBorder="1" applyAlignment="1">
      <alignment vertical="top"/>
    </xf>
    <xf numFmtId="0" fontId="50" fillId="0" borderId="0" xfId="0" applyFont="1" applyAlignment="1">
      <alignment horizontal="left" vertical="top" wrapText="1"/>
    </xf>
    <xf numFmtId="49" fontId="25" fillId="18" borderId="13" xfId="0" applyNumberFormat="1" applyFont="1" applyFill="1" applyBorder="1" applyAlignment="1">
      <alignment vertical="top" wrapText="1"/>
    </xf>
    <xf numFmtId="0" fontId="59" fillId="0" borderId="11" xfId="0" applyFont="1" applyBorder="1" applyAlignment="1">
      <alignment horizontal="center"/>
    </xf>
    <xf numFmtId="175" fontId="31" fillId="0" borderId="19" xfId="0" applyNumberFormat="1" applyFont="1" applyBorder="1" applyAlignment="1">
      <alignment vertical="top"/>
    </xf>
    <xf numFmtId="176" fontId="30" fillId="17" borderId="13" xfId="44" applyNumberFormat="1" applyFont="1" applyFill="1" applyBorder="1"/>
    <xf numFmtId="49" fontId="31" fillId="0" borderId="17" xfId="0" applyNumberFormat="1" applyFont="1" applyBorder="1"/>
    <xf numFmtId="0" fontId="36" fillId="0" borderId="0" xfId="0" applyFont="1" applyAlignment="1">
      <alignment vertical="top"/>
    </xf>
    <xf numFmtId="0" fontId="25" fillId="18" borderId="13" xfId="0" applyFont="1" applyFill="1" applyBorder="1" applyAlignment="1">
      <alignment vertical="top" wrapText="1"/>
    </xf>
    <xf numFmtId="173" fontId="31" fillId="0" borderId="19" xfId="0" applyNumberFormat="1" applyFont="1" applyBorder="1" applyAlignment="1">
      <alignment horizontal="right"/>
    </xf>
    <xf numFmtId="0" fontId="28" fillId="14" borderId="18" xfId="0" applyFont="1" applyFill="1" applyBorder="1" applyAlignment="1">
      <alignment horizontal="center"/>
    </xf>
    <xf numFmtId="190" fontId="39" fillId="0" borderId="17" xfId="0" applyNumberFormat="1" applyFont="1" applyBorder="1" applyAlignment="1">
      <alignment horizontal="center" vertical="top" wrapText="1"/>
    </xf>
    <xf numFmtId="179" fontId="24" fillId="16" borderId="19" xfId="0" applyNumberFormat="1" applyFont="1" applyFill="1" applyBorder="1" applyAlignment="1">
      <alignment horizontal="center" vertical="center"/>
    </xf>
    <xf numFmtId="165" fontId="41" fillId="0" borderId="19" xfId="0" applyNumberFormat="1" applyFont="1" applyBorder="1" applyAlignment="1">
      <alignment vertical="top"/>
    </xf>
    <xf numFmtId="0" fontId="36" fillId="0" borderId="17" xfId="40" applyFont="1" applyBorder="1" applyAlignment="1">
      <alignment horizontal="center"/>
    </xf>
    <xf numFmtId="165" fontId="25" fillId="18" borderId="17" xfId="0" applyNumberFormat="1" applyFont="1" applyFill="1" applyBorder="1" applyAlignment="1">
      <alignment horizontal="center"/>
    </xf>
    <xf numFmtId="0" fontId="24" fillId="16" borderId="15" xfId="0" applyFont="1" applyFill="1" applyBorder="1" applyAlignment="1">
      <alignment vertical="center"/>
    </xf>
    <xf numFmtId="49" fontId="25" fillId="18" borderId="19" xfId="0" applyNumberFormat="1" applyFont="1" applyFill="1" applyBorder="1" applyAlignment="1">
      <alignment vertical="top" wrapText="1"/>
    </xf>
    <xf numFmtId="185" fontId="58" fillId="18" borderId="17" xfId="0" applyNumberFormat="1" applyFont="1" applyFill="1" applyBorder="1" applyAlignment="1">
      <alignment horizontal="center" vertical="top"/>
    </xf>
    <xf numFmtId="0" fontId="20" fillId="0" borderId="0" xfId="40" applyFont="1" applyAlignment="1">
      <alignment vertical="center"/>
    </xf>
    <xf numFmtId="0" fontId="28" fillId="0" borderId="13" xfId="0" applyFont="1" applyBorder="1" applyAlignment="1">
      <alignment vertical="top" wrapText="1"/>
    </xf>
    <xf numFmtId="0" fontId="28" fillId="14" borderId="13" xfId="0" applyFont="1" applyFill="1" applyBorder="1" applyAlignment="1">
      <alignment horizontal="left"/>
    </xf>
    <xf numFmtId="0" fontId="22" fillId="0" borderId="10" xfId="0" applyFont="1" applyBorder="1" applyAlignment="1">
      <alignment horizontal="center" vertical="top"/>
    </xf>
    <xf numFmtId="173" fontId="31" fillId="0" borderId="13" xfId="0" applyNumberFormat="1" applyFont="1" applyBorder="1" applyAlignment="1">
      <alignment vertical="top"/>
    </xf>
    <xf numFmtId="172" fontId="25" fillId="17" borderId="17" xfId="0" applyNumberFormat="1" applyFont="1" applyFill="1" applyBorder="1"/>
    <xf numFmtId="0" fontId="94" fillId="14" borderId="0" xfId="35" applyFont="1" applyFill="1"/>
    <xf numFmtId="170" fontId="25" fillId="18" borderId="13" xfId="0" applyNumberFormat="1" applyFont="1" applyFill="1" applyBorder="1" applyAlignment="1">
      <alignment vertical="top" wrapText="1"/>
    </xf>
    <xf numFmtId="0" fontId="28" fillId="0" borderId="0" xfId="0" applyFont="1" applyAlignment="1">
      <alignment horizontal="center" vertical="top"/>
    </xf>
    <xf numFmtId="0" fontId="20" fillId="23" borderId="10" xfId="0" applyFont="1" applyFill="1" applyBorder="1" applyAlignment="1">
      <alignment horizontal="center" vertical="center"/>
    </xf>
    <xf numFmtId="0" fontId="88" fillId="18" borderId="13" xfId="0" applyFont="1" applyFill="1" applyBorder="1" applyAlignment="1">
      <alignment vertical="top"/>
    </xf>
    <xf numFmtId="0" fontId="31" fillId="0" borderId="19" xfId="0" applyFont="1" applyBorder="1" applyAlignment="1">
      <alignment wrapText="1"/>
    </xf>
    <xf numFmtId="0" fontId="28" fillId="18" borderId="17" xfId="0" applyFont="1" applyFill="1" applyBorder="1" applyAlignment="1">
      <alignment vertical="top"/>
    </xf>
    <xf numFmtId="0" fontId="25" fillId="0" borderId="35" xfId="0" applyFont="1" applyBorder="1"/>
    <xf numFmtId="175" fontId="25" fillId="18" borderId="13" xfId="0" applyNumberFormat="1" applyFont="1" applyFill="1" applyBorder="1" applyAlignment="1">
      <alignment vertical="top"/>
    </xf>
    <xf numFmtId="173" fontId="98" fillId="18" borderId="13" xfId="0" applyNumberFormat="1" applyFont="1" applyFill="1" applyBorder="1" applyAlignment="1">
      <alignment vertical="top"/>
    </xf>
    <xf numFmtId="0" fontId="1" fillId="0" borderId="0" xfId="0" applyFont="1" applyAlignment="1">
      <alignment horizontal="center"/>
    </xf>
    <xf numFmtId="167" fontId="26" fillId="14" borderId="13" xfId="0" applyNumberFormat="1" applyFont="1" applyFill="1" applyBorder="1" applyAlignment="1">
      <alignment horizontal="center" vertical="top"/>
    </xf>
    <xf numFmtId="178" fontId="25" fillId="17" borderId="13" xfId="0" applyNumberFormat="1" applyFont="1" applyFill="1" applyBorder="1"/>
    <xf numFmtId="183" fontId="34" fillId="0" borderId="16" xfId="0" applyNumberFormat="1" applyFont="1" applyBorder="1" applyAlignment="1" applyProtection="1">
      <alignment vertical="top" wrapText="1"/>
      <protection locked="0"/>
    </xf>
    <xf numFmtId="0" fontId="81" fillId="18" borderId="13" xfId="0" applyFont="1" applyFill="1" applyBorder="1" applyAlignment="1">
      <alignment vertical="top" wrapText="1"/>
    </xf>
    <xf numFmtId="0" fontId="28" fillId="14" borderId="19" xfId="0" applyFont="1" applyFill="1" applyBorder="1" applyAlignment="1">
      <alignment horizontal="left"/>
    </xf>
    <xf numFmtId="0" fontId="59" fillId="0" borderId="0" xfId="0" applyFont="1" applyAlignment="1">
      <alignment horizontal="center"/>
    </xf>
    <xf numFmtId="173" fontId="31" fillId="0" borderId="19" xfId="0" applyNumberFormat="1" applyFont="1" applyBorder="1" applyAlignment="1">
      <alignment vertical="top"/>
    </xf>
    <xf numFmtId="165" fontId="24" fillId="16" borderId="19" xfId="0" applyNumberFormat="1" applyFont="1" applyFill="1" applyBorder="1" applyAlignment="1">
      <alignment vertical="center"/>
    </xf>
    <xf numFmtId="49" fontId="25" fillId="18" borderId="0" xfId="0" applyNumberFormat="1" applyFont="1" applyFill="1"/>
    <xf numFmtId="10" fontId="37" fillId="0" borderId="10" xfId="0" applyNumberFormat="1" applyFont="1" applyBorder="1" applyAlignment="1">
      <alignment vertical="center" wrapText="1"/>
    </xf>
    <xf numFmtId="167" fontId="25" fillId="18" borderId="19" xfId="0" applyNumberFormat="1" applyFont="1" applyFill="1" applyBorder="1" applyAlignment="1">
      <alignment vertical="top"/>
    </xf>
    <xf numFmtId="0" fontId="20" fillId="21" borderId="10" xfId="0" applyFont="1" applyFill="1" applyBorder="1" applyAlignment="1">
      <alignment horizontal="center" vertical="center"/>
    </xf>
    <xf numFmtId="3" fontId="24" fillId="0" borderId="0" xfId="0" applyNumberFormat="1" applyFont="1"/>
    <xf numFmtId="0" fontId="69" fillId="0" borderId="0" xfId="0" applyFont="1"/>
    <xf numFmtId="0" fontId="34" fillId="18" borderId="13" xfId="0" applyFont="1" applyFill="1" applyBorder="1" applyAlignment="1">
      <alignment horizontal="center" vertical="top"/>
    </xf>
    <xf numFmtId="2" fontId="20" fillId="0" borderId="28" xfId="0" applyNumberFormat="1" applyFont="1" applyBorder="1"/>
    <xf numFmtId="169" fontId="25" fillId="18" borderId="0" xfId="0" applyNumberFormat="1" applyFont="1" applyFill="1"/>
    <xf numFmtId="0" fontId="25" fillId="0" borderId="21" xfId="0" applyFont="1" applyBorder="1" applyAlignment="1">
      <alignment vertical="top"/>
    </xf>
    <xf numFmtId="0" fontId="25" fillId="18" borderId="0" xfId="0" applyFont="1" applyFill="1"/>
    <xf numFmtId="0" fontId="26" fillId="14" borderId="13" xfId="0" applyFont="1" applyFill="1" applyBorder="1" applyAlignment="1">
      <alignment horizontal="center" vertical="top"/>
    </xf>
    <xf numFmtId="0" fontId="89" fillId="14" borderId="15" xfId="0" applyFont="1" applyFill="1" applyBorder="1"/>
    <xf numFmtId="165" fontId="29" fillId="0" borderId="17" xfId="0" applyNumberFormat="1" applyFont="1" applyBorder="1" applyAlignment="1">
      <alignment vertical="top"/>
    </xf>
    <xf numFmtId="0" fontId="56" fillId="0" borderId="10" xfId="40" applyFont="1" applyBorder="1" applyAlignment="1">
      <alignment horizontal="left" vertical="top" wrapText="1"/>
    </xf>
    <xf numFmtId="0" fontId="25" fillId="0" borderId="35" xfId="0" applyFont="1" applyBorder="1" applyAlignment="1">
      <alignment horizontal="center"/>
    </xf>
    <xf numFmtId="173" fontId="98" fillId="18" borderId="19" xfId="0" applyNumberFormat="1" applyFont="1" applyFill="1" applyBorder="1" applyAlignment="1">
      <alignment vertical="top"/>
    </xf>
    <xf numFmtId="165" fontId="24" fillId="19" borderId="19" xfId="0" applyNumberFormat="1" applyFont="1" applyFill="1" applyBorder="1" applyAlignment="1">
      <alignment vertical="center"/>
    </xf>
    <xf numFmtId="0" fontId="26" fillId="0" borderId="13" xfId="0" applyFont="1" applyBorder="1" applyAlignment="1">
      <alignment vertical="top" wrapText="1"/>
    </xf>
    <xf numFmtId="0" fontId="28" fillId="0" borderId="37" xfId="0" applyFont="1" applyBorder="1"/>
    <xf numFmtId="49" fontId="78" fillId="0" borderId="19" xfId="0" applyNumberFormat="1" applyFont="1" applyBorder="1" applyAlignment="1">
      <alignment vertical="top"/>
    </xf>
    <xf numFmtId="0" fontId="36" fillId="0" borderId="13" xfId="0" applyFont="1" applyBorder="1" applyAlignment="1">
      <alignment vertical="top" wrapText="1"/>
    </xf>
    <xf numFmtId="178" fontId="25" fillId="17" borderId="13" xfId="0" applyNumberFormat="1" applyFont="1" applyFill="1" applyBorder="1" applyAlignment="1">
      <alignment horizontal="center"/>
    </xf>
    <xf numFmtId="0" fontId="1" fillId="0" borderId="21" xfId="0" applyFont="1" applyBorder="1"/>
    <xf numFmtId="0" fontId="22" fillId="0" borderId="10" xfId="0" applyFont="1" applyBorder="1"/>
    <xf numFmtId="164" fontId="24" fillId="16" borderId="13" xfId="28" applyNumberFormat="1" applyFont="1" applyFill="1" applyBorder="1" applyAlignment="1">
      <alignment vertical="center"/>
    </xf>
    <xf numFmtId="0" fontId="25" fillId="18" borderId="19" xfId="0" applyFont="1" applyFill="1" applyBorder="1" applyAlignment="1">
      <alignment vertical="top"/>
    </xf>
    <xf numFmtId="0" fontId="29" fillId="0" borderId="10" xfId="0" applyFont="1" applyBorder="1" applyAlignment="1">
      <alignment horizontal="center" vertical="center" wrapText="1"/>
    </xf>
    <xf numFmtId="0" fontId="36" fillId="0" borderId="0" xfId="0" applyFont="1" applyAlignment="1">
      <alignment horizontal="center" vertical="top"/>
    </xf>
    <xf numFmtId="175" fontId="81" fillId="18" borderId="13" xfId="0" applyNumberFormat="1" applyFont="1" applyFill="1" applyBorder="1" applyAlignment="1">
      <alignment vertical="top"/>
    </xf>
    <xf numFmtId="0" fontId="25" fillId="18" borderId="13" xfId="0" applyFont="1" applyFill="1" applyBorder="1" applyAlignment="1">
      <alignment horizontal="center" vertical="top" wrapText="1"/>
    </xf>
    <xf numFmtId="0" fontId="34" fillId="18" borderId="17" xfId="0" applyFont="1" applyFill="1" applyBorder="1" applyAlignment="1">
      <alignment vertical="top"/>
    </xf>
    <xf numFmtId="0" fontId="99" fillId="18" borderId="0" xfId="0" applyFont="1" applyFill="1"/>
    <xf numFmtId="173" fontId="31" fillId="0" borderId="17" xfId="0" applyNumberFormat="1" applyFont="1" applyBorder="1" applyAlignment="1">
      <alignment horizontal="right"/>
    </xf>
    <xf numFmtId="179" fontId="24" fillId="16" borderId="17" xfId="0" applyNumberFormat="1" applyFont="1" applyFill="1" applyBorder="1" applyAlignment="1">
      <alignment horizontal="center" vertical="center"/>
    </xf>
    <xf numFmtId="0" fontId="28" fillId="18" borderId="19" xfId="0" applyFont="1" applyFill="1" applyBorder="1"/>
    <xf numFmtId="164" fontId="24" fillId="19" borderId="13" xfId="28" applyNumberFormat="1" applyFont="1" applyFill="1" applyBorder="1" applyAlignment="1">
      <alignment vertical="center"/>
    </xf>
    <xf numFmtId="49" fontId="86" fillId="0" borderId="25" xfId="0" applyNumberFormat="1" applyFont="1" applyBorder="1"/>
    <xf numFmtId="0" fontId="21" fillId="23" borderId="10" xfId="0" applyFont="1" applyFill="1" applyBorder="1" applyAlignment="1">
      <alignment horizontal="center"/>
    </xf>
    <xf numFmtId="179" fontId="42" fillId="19" borderId="10" xfId="0" applyNumberFormat="1" applyFont="1" applyFill="1" applyBorder="1" applyAlignment="1">
      <alignment horizontal="center"/>
    </xf>
    <xf numFmtId="0" fontId="47" fillId="0" borderId="0" xfId="0" applyFont="1" applyAlignment="1">
      <alignment horizontal="left" vertical="top" wrapText="1"/>
    </xf>
    <xf numFmtId="0" fontId="22" fillId="0" borderId="13" xfId="0" applyFont="1" applyBorder="1"/>
    <xf numFmtId="0" fontId="28" fillId="0" borderId="15" xfId="0" applyFont="1" applyBorder="1"/>
    <xf numFmtId="0" fontId="24" fillId="16" borderId="15" xfId="0" applyFont="1" applyFill="1" applyBorder="1" applyAlignment="1">
      <alignment horizontal="center" vertical="center"/>
    </xf>
    <xf numFmtId="49" fontId="25" fillId="18" borderId="17" xfId="0" applyNumberFormat="1" applyFont="1" applyFill="1" applyBorder="1" applyAlignment="1">
      <alignment vertical="top" wrapText="1"/>
    </xf>
    <xf numFmtId="0" fontId="25" fillId="14" borderId="18" xfId="0" applyFont="1" applyFill="1" applyBorder="1"/>
    <xf numFmtId="0" fontId="41" fillId="0" borderId="10" xfId="0" applyFont="1" applyBorder="1" applyAlignment="1">
      <alignment horizontal="center" vertical="center" wrapText="1"/>
    </xf>
    <xf numFmtId="0" fontId="36" fillId="0" borderId="19" xfId="0" applyFont="1" applyBorder="1" applyAlignment="1">
      <alignment vertical="top" wrapText="1"/>
    </xf>
    <xf numFmtId="0" fontId="102" fillId="0" borderId="0" xfId="39" applyFont="1" applyAlignment="1" applyProtection="1">
      <alignment horizontal="center" vertical="center"/>
      <protection locked="0"/>
    </xf>
    <xf numFmtId="49" fontId="59" fillId="0" borderId="0" xfId="39" applyNumberFormat="1" applyFont="1" applyAlignment="1" applyProtection="1">
      <alignment horizontal="center" vertical="center"/>
      <protection locked="0"/>
    </xf>
    <xf numFmtId="49" fontId="103" fillId="0" borderId="0" xfId="39" applyNumberFormat="1" applyFont="1" applyAlignment="1" applyProtection="1">
      <alignment horizontal="center" vertical="center"/>
      <protection locked="0"/>
    </xf>
    <xf numFmtId="164" fontId="40" fillId="0" borderId="0" xfId="28" applyNumberFormat="1" applyFont="1" applyFill="1" applyAlignment="1" applyProtection="1">
      <alignment vertical="top"/>
      <protection locked="0"/>
    </xf>
    <xf numFmtId="0" fontId="104" fillId="0" borderId="0" xfId="39" applyFont="1" applyAlignment="1" applyProtection="1">
      <alignment vertical="top"/>
      <protection locked="0"/>
    </xf>
    <xf numFmtId="43" fontId="46" fillId="0" borderId="0" xfId="0" applyNumberFormat="1" applyFont="1" applyAlignment="1">
      <alignment horizontal="center" vertical="center" wrapText="1"/>
    </xf>
    <xf numFmtId="0" fontId="15" fillId="0" borderId="0" xfId="39" applyAlignment="1" applyProtection="1">
      <alignment horizontal="center" vertical="center"/>
      <protection locked="0"/>
    </xf>
    <xf numFmtId="0" fontId="15" fillId="0" borderId="0" xfId="39" applyAlignment="1" applyProtection="1">
      <alignment horizontal="left" vertical="center"/>
      <protection locked="0"/>
    </xf>
    <xf numFmtId="4" fontId="24" fillId="0" borderId="0" xfId="39" applyNumberFormat="1" applyFont="1" applyAlignment="1" applyProtection="1">
      <alignment horizontal="right" vertical="center"/>
      <protection locked="0"/>
    </xf>
    <xf numFmtId="10" fontId="24" fillId="0" borderId="0" xfId="39" applyNumberFormat="1" applyFont="1" applyAlignment="1" applyProtection="1">
      <alignment horizontal="left" vertical="center"/>
      <protection locked="0"/>
    </xf>
    <xf numFmtId="0" fontId="49" fillId="0" borderId="0" xfId="39" applyFont="1" applyAlignment="1" applyProtection="1">
      <alignment horizontal="right" vertical="center"/>
      <protection locked="0"/>
    </xf>
    <xf numFmtId="0" fontId="105" fillId="0" borderId="0" xfId="39" applyFont="1" applyAlignment="1" applyProtection="1">
      <alignment horizontal="right" vertical="center"/>
      <protection locked="0"/>
    </xf>
    <xf numFmtId="164" fontId="104" fillId="0" borderId="0" xfId="28" applyNumberFormat="1" applyFont="1" applyFill="1" applyAlignment="1" applyProtection="1">
      <alignment vertical="top"/>
      <protection locked="0"/>
    </xf>
    <xf numFmtId="4" fontId="40" fillId="0" borderId="10" xfId="39" applyNumberFormat="1" applyFont="1" applyBorder="1" applyAlignment="1" applyProtection="1">
      <alignment horizontal="center" vertical="center"/>
      <protection locked="0"/>
    </xf>
    <xf numFmtId="4" fontId="40" fillId="0" borderId="0" xfId="39" applyNumberFormat="1" applyFont="1" applyAlignment="1" applyProtection="1">
      <alignment horizontal="center" vertical="center"/>
      <protection locked="0"/>
    </xf>
    <xf numFmtId="49" fontId="106" fillId="0" borderId="0" xfId="39" applyNumberFormat="1" applyFont="1" applyAlignment="1" applyProtection="1">
      <alignment horizontal="center" vertical="center" wrapText="1"/>
      <protection locked="0"/>
    </xf>
    <xf numFmtId="0" fontId="40" fillId="0" borderId="18" xfId="39" applyFont="1" applyBorder="1" applyAlignment="1" applyProtection="1">
      <alignment horizontal="center" vertical="center" wrapText="1"/>
      <protection locked="0"/>
    </xf>
    <xf numFmtId="49" fontId="40" fillId="0" borderId="18" xfId="39" applyNumberFormat="1" applyFont="1" applyBorder="1" applyAlignment="1" applyProtection="1">
      <alignment horizontal="left" vertical="center" wrapText="1"/>
      <protection locked="0"/>
    </xf>
    <xf numFmtId="49" fontId="40" fillId="0" borderId="18" xfId="39" applyNumberFormat="1" applyFont="1" applyBorder="1" applyAlignment="1" applyProtection="1">
      <alignment horizontal="center" vertical="center" wrapText="1"/>
      <protection locked="0"/>
    </xf>
    <xf numFmtId="3" fontId="40" fillId="0" borderId="18" xfId="39" applyNumberFormat="1" applyFont="1" applyBorder="1" applyAlignment="1" applyProtection="1">
      <alignment horizontal="right" vertical="center" wrapText="1"/>
      <protection locked="0"/>
    </xf>
    <xf numFmtId="3" fontId="40" fillId="0" borderId="18" xfId="39" applyNumberFormat="1" applyFont="1" applyBorder="1" applyAlignment="1" applyProtection="1">
      <alignment horizontal="right" vertical="center"/>
      <protection locked="0"/>
    </xf>
    <xf numFmtId="3" fontId="40" fillId="0" borderId="10" xfId="39" applyNumberFormat="1" applyFont="1" applyBorder="1" applyAlignment="1" applyProtection="1">
      <alignment horizontal="right" vertical="center" wrapText="1"/>
      <protection locked="0"/>
    </xf>
    <xf numFmtId="3" fontId="40" fillId="0" borderId="0" xfId="39" applyNumberFormat="1" applyFont="1" applyAlignment="1" applyProtection="1">
      <alignment horizontal="right" vertical="center" wrapText="1"/>
      <protection locked="0"/>
    </xf>
    <xf numFmtId="164" fontId="104" fillId="0" borderId="0" xfId="28" applyNumberFormat="1" applyFont="1" applyFill="1" applyAlignment="1" applyProtection="1">
      <alignment vertical="top" wrapText="1"/>
      <protection locked="0"/>
    </xf>
    <xf numFmtId="49" fontId="104" fillId="0" borderId="0" xfId="39" applyNumberFormat="1" applyFont="1" applyAlignment="1" applyProtection="1">
      <alignment vertical="top" wrapText="1"/>
      <protection locked="0"/>
    </xf>
    <xf numFmtId="0" fontId="107" fillId="0" borderId="0" xfId="0" applyFont="1" applyAlignment="1">
      <alignment horizontal="justify" vertical="center" wrapText="1"/>
    </xf>
    <xf numFmtId="3" fontId="108" fillId="0" borderId="0" xfId="0" applyNumberFormat="1" applyFont="1" applyAlignment="1">
      <alignment horizontal="right" vertical="center" wrapText="1"/>
    </xf>
    <xf numFmtId="49" fontId="109" fillId="0" borderId="0" xfId="39" applyNumberFormat="1" applyFont="1" applyAlignment="1" applyProtection="1">
      <alignment vertical="center" wrapText="1"/>
      <protection locked="0"/>
    </xf>
    <xf numFmtId="49" fontId="110" fillId="0" borderId="0" xfId="39" applyNumberFormat="1" applyFont="1" applyAlignment="1" applyProtection="1">
      <alignment horizontal="center" vertical="center" wrapText="1"/>
      <protection locked="0"/>
    </xf>
    <xf numFmtId="49" fontId="102" fillId="0" borderId="0" xfId="39" applyNumberFormat="1" applyFont="1" applyAlignment="1" applyProtection="1">
      <alignment horizontal="center" vertical="center" wrapText="1"/>
      <protection locked="0"/>
    </xf>
    <xf numFmtId="0" fontId="24" fillId="0" borderId="13" xfId="39" applyFont="1" applyBorder="1" applyAlignment="1" applyProtection="1">
      <alignment horizontal="center" vertical="center" wrapText="1"/>
      <protection locked="0"/>
    </xf>
    <xf numFmtId="49" fontId="24" fillId="0" borderId="13" xfId="39" applyNumberFormat="1" applyFont="1" applyBorder="1" applyAlignment="1" applyProtection="1">
      <alignment horizontal="left" vertical="center" wrapText="1"/>
      <protection locked="0"/>
    </xf>
    <xf numFmtId="49" fontId="24" fillId="0" borderId="13" xfId="39" applyNumberFormat="1" applyFont="1" applyBorder="1" applyAlignment="1" applyProtection="1">
      <alignment horizontal="center" vertical="center" wrapText="1"/>
      <protection locked="0"/>
    </xf>
    <xf numFmtId="3" fontId="24" fillId="0" borderId="13" xfId="39" applyNumberFormat="1" applyFont="1" applyBorder="1" applyAlignment="1" applyProtection="1">
      <alignment horizontal="right" vertical="center" wrapText="1"/>
      <protection locked="0"/>
    </xf>
    <xf numFmtId="3" fontId="24" fillId="0" borderId="13" xfId="39" applyNumberFormat="1" applyFont="1" applyBorder="1" applyAlignment="1" applyProtection="1">
      <alignment horizontal="right" vertical="center"/>
      <protection locked="0"/>
    </xf>
    <xf numFmtId="3" fontId="24" fillId="0" borderId="10" xfId="39" applyNumberFormat="1" applyFont="1" applyBorder="1" applyAlignment="1" applyProtection="1">
      <alignment horizontal="right" vertical="center" wrapText="1"/>
      <protection locked="0"/>
    </xf>
    <xf numFmtId="3" fontId="24" fillId="0" borderId="10" xfId="39" applyNumberFormat="1" applyFont="1" applyBorder="1" applyAlignment="1" applyProtection="1">
      <alignment horizontal="right" vertical="center"/>
      <protection locked="0"/>
    </xf>
    <xf numFmtId="3" fontId="24" fillId="0" borderId="0" xfId="39" applyNumberFormat="1" applyFont="1" applyAlignment="1" applyProtection="1">
      <alignment horizontal="right" vertical="center"/>
      <protection locked="0"/>
    </xf>
    <xf numFmtId="49" fontId="111" fillId="0" borderId="0" xfId="39" applyNumberFormat="1" applyFont="1" applyAlignment="1" applyProtection="1">
      <alignment vertical="top" wrapText="1"/>
      <protection locked="0"/>
    </xf>
    <xf numFmtId="49" fontId="111" fillId="0" borderId="0" xfId="39" applyNumberFormat="1" applyFont="1" applyAlignment="1" applyProtection="1">
      <alignment horizontal="center" vertical="center" wrapText="1"/>
      <protection locked="0"/>
    </xf>
    <xf numFmtId="0" fontId="106" fillId="0" borderId="0" xfId="39" applyFont="1" applyAlignment="1" applyProtection="1">
      <alignment horizontal="center" vertical="center"/>
      <protection locked="0"/>
    </xf>
    <xf numFmtId="0" fontId="40" fillId="0" borderId="13" xfId="39" applyFont="1" applyBorder="1" applyAlignment="1" applyProtection="1">
      <alignment horizontal="center" vertical="center" wrapText="1"/>
      <protection locked="0"/>
    </xf>
    <xf numFmtId="0" fontId="40" fillId="0" borderId="13" xfId="39" applyFont="1" applyBorder="1" applyAlignment="1" applyProtection="1">
      <alignment horizontal="left" vertical="center" wrapText="1"/>
      <protection locked="0"/>
    </xf>
    <xf numFmtId="0" fontId="40" fillId="0" borderId="13" xfId="39" applyFont="1" applyBorder="1" applyAlignment="1" applyProtection="1">
      <alignment horizontal="center" vertical="center"/>
      <protection locked="0"/>
    </xf>
    <xf numFmtId="9" fontId="40" fillId="0" borderId="13" xfId="39" applyNumberFormat="1" applyFont="1" applyBorder="1" applyAlignment="1" applyProtection="1">
      <alignment horizontal="center" vertical="center" wrapText="1"/>
      <protection locked="0"/>
    </xf>
    <xf numFmtId="3" fontId="40" fillId="0" borderId="13" xfId="39" applyNumberFormat="1" applyFont="1" applyBorder="1" applyAlignment="1" applyProtection="1">
      <alignment horizontal="right" vertical="center"/>
      <protection locked="0"/>
    </xf>
    <xf numFmtId="3" fontId="40" fillId="0" borderId="10" xfId="39" applyNumberFormat="1" applyFont="1" applyBorder="1" applyAlignment="1" applyProtection="1">
      <alignment horizontal="right" vertical="center"/>
      <protection locked="0"/>
    </xf>
    <xf numFmtId="0" fontId="110" fillId="0" borderId="0" xfId="39" applyFont="1" applyAlignment="1" applyProtection="1">
      <alignment vertical="top"/>
      <protection locked="0"/>
    </xf>
    <xf numFmtId="0" fontId="0" fillId="0" borderId="0" xfId="0" applyAlignment="1">
      <alignment vertical="center" wrapText="1"/>
    </xf>
    <xf numFmtId="0" fontId="110" fillId="0" borderId="0" xfId="39" applyFont="1" applyAlignment="1" applyProtection="1">
      <alignment horizontal="center" vertical="center"/>
      <protection locked="0"/>
    </xf>
    <xf numFmtId="0" fontId="40" fillId="0" borderId="13" xfId="39" applyFont="1" applyBorder="1" applyAlignment="1" applyProtection="1">
      <alignment vertical="center" wrapText="1"/>
      <protection locked="0"/>
    </xf>
    <xf numFmtId="189" fontId="40" fillId="0" borderId="13" xfId="39" applyNumberFormat="1" applyFont="1" applyBorder="1" applyAlignment="1" applyProtection="1">
      <alignment horizontal="center" vertical="center" wrapText="1"/>
      <protection locked="0"/>
    </xf>
    <xf numFmtId="3" fontId="40" fillId="0" borderId="0" xfId="39" applyNumberFormat="1" applyFont="1" applyAlignment="1" applyProtection="1">
      <alignment horizontal="right" vertical="center"/>
      <protection locked="0"/>
    </xf>
    <xf numFmtId="164" fontId="112" fillId="0" borderId="0" xfId="28" applyNumberFormat="1" applyFont="1" applyFill="1" applyAlignment="1" applyProtection="1">
      <alignment vertical="top"/>
      <protection locked="0"/>
    </xf>
    <xf numFmtId="0" fontId="112" fillId="0" borderId="0" xfId="39" applyFont="1" applyAlignment="1" applyProtection="1">
      <alignment vertical="top"/>
      <protection locked="0"/>
    </xf>
    <xf numFmtId="0" fontId="24" fillId="0" borderId="13" xfId="39" applyFont="1" applyBorder="1" applyAlignment="1" applyProtection="1">
      <alignment vertical="center" wrapText="1"/>
      <protection locked="0"/>
    </xf>
    <xf numFmtId="0" fontId="24" fillId="0" borderId="13" xfId="39" applyFont="1" applyBorder="1" applyAlignment="1" applyProtection="1">
      <alignment horizontal="center" vertical="center"/>
      <protection locked="0"/>
    </xf>
    <xf numFmtId="189" fontId="24" fillId="0" borderId="13" xfId="39" applyNumberFormat="1" applyFont="1" applyBorder="1" applyAlignment="1" applyProtection="1">
      <alignment horizontal="center" vertical="center" wrapText="1"/>
      <protection locked="0"/>
    </xf>
    <xf numFmtId="3" fontId="24" fillId="0" borderId="18" xfId="39" applyNumberFormat="1" applyFont="1" applyBorder="1" applyAlignment="1" applyProtection="1">
      <alignment horizontal="right" vertical="center"/>
      <protection locked="0"/>
    </xf>
    <xf numFmtId="164" fontId="24" fillId="0" borderId="0" xfId="28" applyNumberFormat="1" applyFont="1" applyFill="1" applyAlignment="1" applyProtection="1">
      <alignment horizontal="center" vertical="center"/>
      <protection locked="0"/>
    </xf>
    <xf numFmtId="0" fontId="15" fillId="0" borderId="46" xfId="39" applyBorder="1" applyAlignment="1" applyProtection="1">
      <alignment horizontal="center" vertical="center" wrapText="1"/>
      <protection locked="0"/>
    </xf>
    <xf numFmtId="0" fontId="24" fillId="0" borderId="13" xfId="39" applyFont="1" applyBorder="1" applyAlignment="1" applyProtection="1">
      <alignment horizontal="left" vertical="center" wrapText="1"/>
      <protection locked="0"/>
    </xf>
    <xf numFmtId="0" fontId="15" fillId="0" borderId="0" xfId="39" applyAlignment="1" applyProtection="1">
      <alignment horizontal="center" vertical="center" wrapText="1"/>
      <protection locked="0"/>
    </xf>
    <xf numFmtId="185" fontId="40" fillId="0" borderId="13" xfId="39" applyNumberFormat="1" applyFont="1" applyBorder="1" applyAlignment="1" applyProtection="1">
      <alignment horizontal="right" vertical="center"/>
      <protection locked="0"/>
    </xf>
    <xf numFmtId="185" fontId="113" fillId="0" borderId="10" xfId="39" applyNumberFormat="1" applyFont="1" applyBorder="1" applyAlignment="1" applyProtection="1">
      <alignment horizontal="right" vertical="center"/>
      <protection locked="0"/>
    </xf>
    <xf numFmtId="4" fontId="113" fillId="0" borderId="0" xfId="39" applyNumberFormat="1" applyFont="1" applyAlignment="1" applyProtection="1">
      <alignment horizontal="right" vertical="center"/>
      <protection locked="0"/>
    </xf>
    <xf numFmtId="164" fontId="104" fillId="0" borderId="0" xfId="39" applyNumberFormat="1" applyFont="1" applyAlignment="1" applyProtection="1">
      <alignment vertical="top"/>
      <protection locked="0"/>
    </xf>
    <xf numFmtId="0" fontId="114" fillId="0" borderId="0" xfId="39" applyFont="1" applyAlignment="1" applyProtection="1">
      <alignment horizontal="center" vertical="center"/>
      <protection locked="0"/>
    </xf>
    <xf numFmtId="0" fontId="113" fillId="0" borderId="0" xfId="48" applyFont="1" applyProtection="1">
      <protection locked="0"/>
    </xf>
    <xf numFmtId="185" fontId="40" fillId="0" borderId="0" xfId="48" applyNumberFormat="1" applyFont="1" applyAlignment="1" applyProtection="1">
      <alignment vertical="center"/>
      <protection locked="0"/>
    </xf>
    <xf numFmtId="3" fontId="24" fillId="0" borderId="0" xfId="48" applyNumberFormat="1" applyFont="1" applyAlignment="1" applyProtection="1">
      <alignment vertical="center"/>
      <protection locked="0"/>
    </xf>
    <xf numFmtId="0" fontId="24" fillId="0" borderId="0" xfId="48" applyFont="1" applyAlignment="1" applyProtection="1">
      <alignment vertical="center"/>
      <protection locked="0"/>
    </xf>
    <xf numFmtId="164" fontId="116" fillId="0" borderId="0" xfId="28" applyNumberFormat="1" applyFont="1" applyFill="1" applyAlignment="1" applyProtection="1">
      <alignment vertical="top"/>
      <protection locked="0"/>
    </xf>
    <xf numFmtId="3" fontId="116" fillId="0" borderId="0" xfId="39" applyNumberFormat="1" applyFont="1" applyAlignment="1" applyProtection="1">
      <alignment vertical="top"/>
      <protection locked="0"/>
    </xf>
    <xf numFmtId="0" fontId="116" fillId="0" borderId="0" xfId="39" applyFont="1" applyAlignment="1" applyProtection="1">
      <alignment vertical="top"/>
      <protection locked="0"/>
    </xf>
    <xf numFmtId="194" fontId="24" fillId="0" borderId="0" xfId="28" applyNumberFormat="1" applyFont="1" applyFill="1" applyBorder="1"/>
    <xf numFmtId="4" fontId="116" fillId="0" borderId="0" xfId="39" applyNumberFormat="1" applyFont="1" applyAlignment="1" applyProtection="1">
      <alignment vertical="top"/>
      <protection locked="0"/>
    </xf>
    <xf numFmtId="185" fontId="24" fillId="0" borderId="0" xfId="48" applyNumberFormat="1" applyFont="1" applyAlignment="1" applyProtection="1">
      <alignment vertical="center"/>
      <protection locked="0"/>
    </xf>
    <xf numFmtId="194" fontId="24" fillId="0" borderId="0" xfId="28" applyNumberFormat="1" applyFont="1" applyFill="1" applyBorder="1" applyAlignment="1" applyProtection="1">
      <alignment vertical="center"/>
      <protection locked="0"/>
    </xf>
    <xf numFmtId="0" fontId="104" fillId="0" borderId="0" xfId="39" applyFont="1" applyAlignment="1" applyProtection="1">
      <alignment horizontal="left" vertical="top"/>
      <protection locked="0"/>
    </xf>
    <xf numFmtId="194" fontId="104" fillId="0" borderId="0" xfId="28" applyNumberFormat="1" applyFont="1" applyFill="1" applyAlignment="1" applyProtection="1">
      <alignment vertical="top"/>
      <protection locked="0"/>
    </xf>
    <xf numFmtId="4" fontId="104" fillId="0" borderId="0" xfId="39" applyNumberFormat="1" applyFont="1" applyAlignment="1" applyProtection="1">
      <alignment vertical="top"/>
      <protection locked="0"/>
    </xf>
    <xf numFmtId="0" fontId="118" fillId="0" borderId="0" xfId="39" applyFont="1" applyAlignment="1" applyProtection="1">
      <alignment horizontal="center" vertical="center"/>
      <protection locked="0"/>
    </xf>
    <xf numFmtId="0" fontId="119" fillId="0" borderId="0" xfId="39" applyFont="1" applyAlignment="1" applyProtection="1">
      <alignment horizontal="center" vertical="center"/>
      <protection locked="0"/>
    </xf>
    <xf numFmtId="0" fontId="120" fillId="0" borderId="0" xfId="39" applyFont="1" applyAlignment="1" applyProtection="1">
      <alignment horizontal="center" vertical="center"/>
      <protection locked="0"/>
    </xf>
    <xf numFmtId="0" fontId="114" fillId="0" borderId="0" xfId="39" applyFont="1" applyProtection="1">
      <protection locked="0"/>
    </xf>
    <xf numFmtId="3" fontId="24" fillId="0" borderId="47" xfId="0" applyNumberFormat="1" applyFont="1" applyBorder="1" applyAlignment="1">
      <alignment horizontal="right"/>
    </xf>
    <xf numFmtId="3" fontId="104" fillId="0" borderId="0" xfId="39" applyNumberFormat="1" applyFont="1" applyAlignment="1" applyProtection="1">
      <alignment horizontal="left" vertical="top"/>
      <protection locked="0"/>
    </xf>
    <xf numFmtId="0" fontId="111" fillId="0" borderId="0" xfId="39" applyFont="1" applyAlignment="1" applyProtection="1">
      <alignment horizontal="center" vertical="center"/>
      <protection locked="0"/>
    </xf>
    <xf numFmtId="0" fontId="111" fillId="0" borderId="0" xfId="39" applyFont="1" applyAlignment="1" applyProtection="1">
      <alignment horizontal="left" vertical="center"/>
      <protection locked="0"/>
    </xf>
    <xf numFmtId="4" fontId="111" fillId="0" borderId="0" xfId="39" applyNumberFormat="1" applyFont="1" applyAlignment="1" applyProtection="1">
      <alignment horizontal="right" vertical="center"/>
      <protection locked="0"/>
    </xf>
    <xf numFmtId="0" fontId="102" fillId="0" borderId="0" xfId="39" applyFont="1" applyAlignment="1" applyProtection="1">
      <alignment horizontal="center" vertical="center"/>
      <protection hidden="1"/>
    </xf>
    <xf numFmtId="0" fontId="111" fillId="0" borderId="0" xfId="39" applyFont="1" applyAlignment="1" applyProtection="1">
      <alignment horizontal="center" vertical="center"/>
      <protection hidden="1"/>
    </xf>
    <xf numFmtId="0" fontId="111" fillId="0" borderId="0" xfId="39" applyFont="1" applyAlignment="1" applyProtection="1">
      <alignment horizontal="left" vertical="center"/>
      <protection hidden="1"/>
    </xf>
    <xf numFmtId="4" fontId="111" fillId="0" borderId="0" xfId="39" applyNumberFormat="1" applyFont="1" applyAlignment="1" applyProtection="1">
      <alignment horizontal="right" vertical="center"/>
      <protection hidden="1"/>
    </xf>
    <xf numFmtId="164" fontId="104" fillId="0" borderId="0" xfId="28" applyNumberFormat="1" applyFont="1" applyFill="1" applyAlignment="1" applyProtection="1">
      <alignment vertical="top"/>
      <protection hidden="1"/>
    </xf>
    <xf numFmtId="0" fontId="104" fillId="0" borderId="0" xfId="39" applyFont="1" applyAlignment="1" applyProtection="1">
      <alignment vertical="top"/>
      <protection hidden="1"/>
    </xf>
    <xf numFmtId="0" fontId="102" fillId="0" borderId="0" xfId="39" applyFont="1" applyAlignment="1" applyProtection="1">
      <alignment horizontal="center"/>
      <protection hidden="1"/>
    </xf>
    <xf numFmtId="195" fontId="15" fillId="0" borderId="0" xfId="39" applyNumberFormat="1" applyProtection="1">
      <protection hidden="1"/>
    </xf>
    <xf numFmtId="0" fontId="15" fillId="0" borderId="0" xfId="39" applyProtection="1">
      <protection hidden="1"/>
    </xf>
    <xf numFmtId="0" fontId="15" fillId="0" borderId="0" xfId="39" applyAlignment="1" applyProtection="1">
      <alignment horizontal="left"/>
      <protection hidden="1"/>
    </xf>
    <xf numFmtId="4" fontId="104" fillId="0" borderId="0" xfId="39" applyNumberFormat="1" applyFont="1" applyAlignment="1" applyProtection="1">
      <alignment vertical="top"/>
      <protection hidden="1"/>
    </xf>
    <xf numFmtId="0" fontId="15" fillId="0" borderId="0" xfId="39" applyAlignment="1" applyProtection="1">
      <alignment horizontal="center"/>
      <protection hidden="1"/>
    </xf>
    <xf numFmtId="0" fontId="15" fillId="0" borderId="0" xfId="39" applyAlignment="1" applyProtection="1">
      <alignment horizontal="center" vertical="center"/>
      <protection hidden="1"/>
    </xf>
    <xf numFmtId="0" fontId="119" fillId="0" borderId="0" xfId="39" applyFont="1" applyAlignment="1" applyProtection="1">
      <alignment horizontal="center"/>
      <protection hidden="1"/>
    </xf>
    <xf numFmtId="0" fontId="105" fillId="0" borderId="0" xfId="39" applyFont="1" applyProtection="1">
      <protection hidden="1"/>
    </xf>
    <xf numFmtId="10" fontId="15" fillId="0" borderId="0" xfId="39" applyNumberFormat="1" applyAlignment="1" applyProtection="1">
      <alignment horizontal="center"/>
      <protection hidden="1"/>
    </xf>
    <xf numFmtId="196" fontId="15" fillId="0" borderId="0" xfId="39" applyNumberFormat="1" applyAlignment="1" applyProtection="1">
      <alignment horizontal="left" vertical="center"/>
      <protection hidden="1"/>
    </xf>
    <xf numFmtId="10" fontId="119" fillId="0" borderId="0" xfId="39" applyNumberFormat="1" applyFont="1" applyAlignment="1" applyProtection="1">
      <alignment horizontal="center"/>
      <protection hidden="1"/>
    </xf>
    <xf numFmtId="196" fontId="119" fillId="0" borderId="0" xfId="39" applyNumberFormat="1" applyFont="1" applyAlignment="1" applyProtection="1">
      <alignment horizontal="left" vertical="center"/>
      <protection hidden="1"/>
    </xf>
    <xf numFmtId="164" fontId="119" fillId="0" borderId="0" xfId="28" applyNumberFormat="1" applyFont="1" applyFill="1" applyBorder="1" applyAlignment="1" applyProtection="1">
      <alignment horizontal="center" vertical="center"/>
      <protection hidden="1"/>
    </xf>
    <xf numFmtId="0" fontId="119" fillId="0" borderId="0" xfId="39" applyFont="1" applyAlignment="1" applyProtection="1">
      <alignment horizontal="center" vertical="center"/>
      <protection hidden="1"/>
    </xf>
    <xf numFmtId="3" fontId="102" fillId="0" borderId="0" xfId="39" applyNumberFormat="1" applyFont="1" applyAlignment="1" applyProtection="1">
      <alignment horizontal="center"/>
      <protection hidden="1"/>
    </xf>
    <xf numFmtId="197" fontId="119" fillId="0" borderId="0" xfId="39" applyNumberFormat="1" applyFont="1" applyAlignment="1" applyProtection="1">
      <alignment horizontal="center"/>
      <protection hidden="1"/>
    </xf>
    <xf numFmtId="3" fontId="119" fillId="0" borderId="0" xfId="39" applyNumberFormat="1" applyFont="1" applyAlignment="1" applyProtection="1">
      <alignment horizontal="center"/>
      <protection hidden="1"/>
    </xf>
    <xf numFmtId="3" fontId="119" fillId="0" borderId="0" xfId="39" applyNumberFormat="1" applyFont="1" applyAlignment="1" applyProtection="1">
      <alignment horizontal="left"/>
      <protection hidden="1"/>
    </xf>
    <xf numFmtId="164" fontId="119" fillId="0" borderId="0" xfId="28" applyNumberFormat="1" applyFont="1" applyFill="1" applyBorder="1" applyAlignment="1" applyProtection="1">
      <alignment horizontal="center"/>
      <protection hidden="1"/>
    </xf>
    <xf numFmtId="198" fontId="15" fillId="0" borderId="0" xfId="39" applyNumberFormat="1" applyAlignment="1" applyProtection="1">
      <alignment horizontal="center"/>
      <protection hidden="1"/>
    </xf>
    <xf numFmtId="3" fontId="15" fillId="0" borderId="0" xfId="39" applyNumberFormat="1" applyAlignment="1" applyProtection="1">
      <alignment horizontal="center"/>
      <protection hidden="1"/>
    </xf>
    <xf numFmtId="3" fontId="15" fillId="0" borderId="0" xfId="39" applyNumberFormat="1" applyProtection="1">
      <protection hidden="1"/>
    </xf>
    <xf numFmtId="196" fontId="15" fillId="0" borderId="0" xfId="39" applyNumberFormat="1" applyAlignment="1" applyProtection="1">
      <alignment horizontal="center" vertical="center"/>
      <protection hidden="1"/>
    </xf>
    <xf numFmtId="164" fontId="15" fillId="0" borderId="0" xfId="28" applyNumberFormat="1" applyFont="1" applyFill="1" applyBorder="1" applyAlignment="1" applyProtection="1">
      <alignment horizontal="center" vertical="center"/>
      <protection hidden="1"/>
    </xf>
    <xf numFmtId="196" fontId="119" fillId="0" borderId="0" xfId="39" applyNumberFormat="1" applyFont="1" applyAlignment="1" applyProtection="1">
      <alignment horizontal="center" vertical="center"/>
      <protection hidden="1"/>
    </xf>
    <xf numFmtId="164" fontId="15" fillId="0" borderId="0" xfId="28" applyNumberFormat="1" applyFont="1" applyFill="1" applyBorder="1" applyProtection="1">
      <protection hidden="1"/>
    </xf>
    <xf numFmtId="0" fontId="102" fillId="0" borderId="0" xfId="39" applyFont="1" applyProtection="1">
      <protection hidden="1"/>
    </xf>
    <xf numFmtId="0" fontId="119" fillId="0" borderId="0" xfId="39" applyFont="1" applyAlignment="1" applyProtection="1">
      <alignment vertical="center"/>
      <protection hidden="1"/>
    </xf>
    <xf numFmtId="3" fontId="15" fillId="0" borderId="0" xfId="39" applyNumberFormat="1" applyAlignment="1" applyProtection="1">
      <alignment horizontal="center" vertical="center"/>
      <protection hidden="1"/>
    </xf>
    <xf numFmtId="10" fontId="15" fillId="0" borderId="0" xfId="39" applyNumberFormat="1" applyAlignment="1" applyProtection="1">
      <alignment horizontal="left"/>
      <protection hidden="1"/>
    </xf>
    <xf numFmtId="164" fontId="15" fillId="0" borderId="0" xfId="28" applyNumberFormat="1" applyFont="1" applyFill="1" applyBorder="1" applyAlignment="1" applyProtection="1">
      <alignment horizontal="center"/>
      <protection hidden="1"/>
    </xf>
    <xf numFmtId="2" fontId="119" fillId="0" borderId="0" xfId="39" applyNumberFormat="1" applyFont="1" applyAlignment="1" applyProtection="1">
      <alignment horizontal="center"/>
      <protection hidden="1"/>
    </xf>
    <xf numFmtId="2" fontId="119" fillId="0" borderId="0" xfId="39" applyNumberFormat="1" applyFont="1" applyAlignment="1" applyProtection="1">
      <alignment horizontal="left" vertical="center"/>
      <protection hidden="1"/>
    </xf>
    <xf numFmtId="164" fontId="119" fillId="0" borderId="0" xfId="28" applyNumberFormat="1" applyFont="1" applyFill="1" applyBorder="1" applyAlignment="1" applyProtection="1">
      <alignment vertical="center"/>
      <protection hidden="1"/>
    </xf>
    <xf numFmtId="199" fontId="119" fillId="0" borderId="0" xfId="39" applyNumberFormat="1" applyFont="1" applyAlignment="1" applyProtection="1">
      <alignment horizontal="left"/>
      <protection hidden="1"/>
    </xf>
    <xf numFmtId="10" fontId="15" fillId="0" borderId="0" xfId="39" applyNumberFormat="1" applyAlignment="1" applyProtection="1">
      <alignment horizontal="center" vertical="center"/>
      <protection hidden="1"/>
    </xf>
    <xf numFmtId="10" fontId="15" fillId="0" borderId="0" xfId="39" applyNumberFormat="1" applyAlignment="1" applyProtection="1">
      <alignment horizontal="left" vertical="center"/>
      <protection hidden="1"/>
    </xf>
    <xf numFmtId="9" fontId="15" fillId="0" borderId="0" xfId="39" applyNumberFormat="1" applyAlignment="1" applyProtection="1">
      <alignment horizontal="center"/>
      <protection hidden="1"/>
    </xf>
    <xf numFmtId="0" fontId="119" fillId="0" borderId="0" xfId="39" applyFont="1" applyProtection="1">
      <protection hidden="1"/>
    </xf>
    <xf numFmtId="10" fontId="15" fillId="0" borderId="0" xfId="39" applyNumberFormat="1" applyProtection="1">
      <protection hidden="1"/>
    </xf>
    <xf numFmtId="196" fontId="15" fillId="0" borderId="0" xfId="39" applyNumberFormat="1" applyProtection="1">
      <protection hidden="1"/>
    </xf>
    <xf numFmtId="197" fontId="15" fillId="0" borderId="0" xfId="39" applyNumberFormat="1" applyAlignment="1" applyProtection="1">
      <alignment horizontal="center"/>
      <protection hidden="1"/>
    </xf>
    <xf numFmtId="3" fontId="15" fillId="0" borderId="0" xfId="39" applyNumberFormat="1" applyAlignment="1" applyProtection="1">
      <alignment horizontal="left"/>
      <protection hidden="1"/>
    </xf>
    <xf numFmtId="196" fontId="15" fillId="0" borderId="0" xfId="39" applyNumberFormat="1" applyAlignment="1" applyProtection="1">
      <alignment horizontal="left"/>
      <protection hidden="1"/>
    </xf>
    <xf numFmtId="196" fontId="15" fillId="0" borderId="0" xfId="39" applyNumberFormat="1" applyAlignment="1" applyProtection="1">
      <alignment horizontal="center"/>
      <protection hidden="1"/>
    </xf>
    <xf numFmtId="0" fontId="121" fillId="0" borderId="0" xfId="39" applyFont="1" applyAlignment="1" applyProtection="1">
      <alignment horizontal="left"/>
      <protection hidden="1"/>
    </xf>
    <xf numFmtId="0" fontId="122" fillId="0" borderId="0" xfId="39" applyFont="1" applyProtection="1">
      <protection hidden="1"/>
    </xf>
    <xf numFmtId="0" fontId="122" fillId="0" borderId="0" xfId="39" applyFont="1" applyAlignment="1" applyProtection="1">
      <alignment horizontal="left"/>
      <protection hidden="1"/>
    </xf>
    <xf numFmtId="164" fontId="122" fillId="0" borderId="0" xfId="28" applyNumberFormat="1" applyFont="1" applyFill="1" applyBorder="1" applyProtection="1">
      <protection hidden="1"/>
    </xf>
    <xf numFmtId="0" fontId="121" fillId="0" borderId="0" xfId="39" applyFont="1" applyAlignment="1" applyProtection="1">
      <alignment horizontal="center"/>
      <protection hidden="1"/>
    </xf>
    <xf numFmtId="0" fontId="122" fillId="0" borderId="0" xfId="39" applyFont="1" applyAlignment="1" applyProtection="1">
      <alignment horizontal="center"/>
      <protection hidden="1"/>
    </xf>
    <xf numFmtId="0" fontId="122" fillId="0" borderId="0" xfId="39" applyFont="1" applyAlignment="1" applyProtection="1">
      <alignment horizontal="center" vertical="center"/>
      <protection hidden="1"/>
    </xf>
    <xf numFmtId="0" fontId="121" fillId="0" borderId="0" xfId="39" applyFont="1" applyAlignment="1" applyProtection="1">
      <alignment horizontal="center" vertical="center" wrapText="1"/>
      <protection hidden="1"/>
    </xf>
    <xf numFmtId="197" fontId="122" fillId="0" borderId="0" xfId="39" applyNumberFormat="1" applyFont="1" applyAlignment="1" applyProtection="1">
      <alignment horizontal="center" vertical="center" wrapText="1"/>
      <protection hidden="1"/>
    </xf>
    <xf numFmtId="0" fontId="122" fillId="0" borderId="0" xfId="39" applyFont="1" applyAlignment="1" applyProtection="1">
      <alignment horizontal="center" vertical="center" wrapText="1"/>
      <protection hidden="1"/>
    </xf>
    <xf numFmtId="0" fontId="122" fillId="0" borderId="0" xfId="39" applyFont="1" applyAlignment="1" applyProtection="1">
      <alignment horizontal="left" vertical="center" wrapText="1"/>
      <protection hidden="1"/>
    </xf>
    <xf numFmtId="3" fontId="122" fillId="0" borderId="0" xfId="39" applyNumberFormat="1" applyFont="1" applyAlignment="1" applyProtection="1">
      <alignment horizontal="center" vertical="center" wrapText="1"/>
      <protection hidden="1"/>
    </xf>
    <xf numFmtId="164" fontId="122" fillId="0" borderId="0" xfId="28" applyNumberFormat="1" applyFont="1" applyFill="1" applyBorder="1" applyAlignment="1" applyProtection="1">
      <alignment horizontal="center" vertical="center" wrapText="1"/>
      <protection hidden="1"/>
    </xf>
    <xf numFmtId="200" fontId="122" fillId="0" borderId="0" xfId="39" applyNumberFormat="1" applyFont="1" applyAlignment="1" applyProtection="1">
      <alignment horizontal="center" vertical="center" wrapText="1"/>
      <protection hidden="1"/>
    </xf>
    <xf numFmtId="198" fontId="122" fillId="0" borderId="0" xfId="39" applyNumberFormat="1" applyFont="1" applyAlignment="1" applyProtection="1">
      <alignment horizontal="center"/>
      <protection hidden="1"/>
    </xf>
    <xf numFmtId="196" fontId="122" fillId="0" borderId="0" xfId="39" applyNumberFormat="1" applyFont="1" applyAlignment="1" applyProtection="1">
      <alignment horizontal="center" vertical="center" wrapText="1"/>
      <protection hidden="1"/>
    </xf>
    <xf numFmtId="196" fontId="122" fillId="0" borderId="0" xfId="39" applyNumberFormat="1" applyFont="1" applyAlignment="1" applyProtection="1">
      <alignment horizontal="left" vertical="center" wrapText="1"/>
      <protection hidden="1"/>
    </xf>
    <xf numFmtId="196" fontId="122" fillId="0" borderId="0" xfId="39" applyNumberFormat="1" applyFont="1" applyAlignment="1" applyProtection="1">
      <alignment horizontal="center"/>
      <protection hidden="1"/>
    </xf>
    <xf numFmtId="196" fontId="121" fillId="0" borderId="0" xfId="39" applyNumberFormat="1" applyFont="1" applyAlignment="1" applyProtection="1">
      <alignment horizontal="center" vertical="center"/>
      <protection hidden="1"/>
    </xf>
    <xf numFmtId="0" fontId="104" fillId="0" borderId="0" xfId="39" applyFont="1" applyAlignment="1" applyProtection="1">
      <alignment horizontal="center" vertical="center"/>
      <protection hidden="1"/>
    </xf>
    <xf numFmtId="0" fontId="104" fillId="0" borderId="0" xfId="39" applyFont="1" applyAlignment="1" applyProtection="1">
      <alignment horizontal="left" vertical="center"/>
      <protection hidden="1"/>
    </xf>
    <xf numFmtId="4" fontId="104" fillId="0" borderId="0" xfId="39" applyNumberFormat="1" applyFont="1" applyAlignment="1" applyProtection="1">
      <alignment horizontal="right" vertical="center"/>
      <protection hidden="1"/>
    </xf>
    <xf numFmtId="201" fontId="122" fillId="0" borderId="0" xfId="39" applyNumberFormat="1" applyFont="1" applyAlignment="1" applyProtection="1">
      <alignment horizontal="center" vertical="center" wrapText="1"/>
      <protection hidden="1"/>
    </xf>
    <xf numFmtId="0" fontId="104" fillId="0" borderId="0" xfId="39" applyFont="1" applyAlignment="1" applyProtection="1">
      <alignment horizontal="center" vertical="center"/>
      <protection locked="0"/>
    </xf>
    <xf numFmtId="0" fontId="104" fillId="0" borderId="0" xfId="39" applyFont="1" applyAlignment="1" applyProtection="1">
      <alignment horizontal="left" vertical="center"/>
      <protection locked="0"/>
    </xf>
    <xf numFmtId="4" fontId="104" fillId="0" borderId="0" xfId="39" applyNumberFormat="1" applyFont="1" applyAlignment="1" applyProtection="1">
      <alignment horizontal="right" vertical="center"/>
      <protection locked="0"/>
    </xf>
    <xf numFmtId="0" fontId="59" fillId="14" borderId="0" xfId="0" applyFont="1" applyFill="1" applyAlignment="1">
      <alignment horizontal="center"/>
    </xf>
    <xf numFmtId="0" fontId="46" fillId="14" borderId="0" xfId="0" applyFont="1" applyFill="1" applyAlignment="1">
      <alignment horizontal="center"/>
    </xf>
    <xf numFmtId="0" fontId="46" fillId="14" borderId="0" xfId="0" applyFont="1" applyFill="1" applyAlignment="1">
      <alignment horizontal="center" vertical="center"/>
    </xf>
    <xf numFmtId="0" fontId="35" fillId="14" borderId="10" xfId="0" applyFont="1" applyFill="1" applyBorder="1" applyAlignment="1">
      <alignment horizontal="center" vertical="center"/>
    </xf>
    <xf numFmtId="0" fontId="35" fillId="14" borderId="30" xfId="0" applyFont="1" applyFill="1" applyBorder="1" applyAlignment="1">
      <alignment horizontal="center" vertical="center"/>
    </xf>
    <xf numFmtId="0" fontId="35" fillId="14" borderId="31" xfId="0" applyFont="1" applyFill="1" applyBorder="1" applyAlignment="1">
      <alignment horizontal="center" vertical="center"/>
    </xf>
    <xf numFmtId="0" fontId="22" fillId="22" borderId="10" xfId="0" applyFont="1" applyFill="1" applyBorder="1" applyAlignment="1">
      <alignment vertical="top"/>
    </xf>
    <xf numFmtId="0" fontId="53" fillId="24" borderId="10" xfId="0" applyFont="1" applyFill="1" applyBorder="1" applyAlignment="1">
      <alignment vertical="top"/>
    </xf>
    <xf numFmtId="0" fontId="53" fillId="24" borderId="10" xfId="0" applyFont="1" applyFill="1" applyBorder="1" applyAlignment="1">
      <alignment horizontal="center" vertical="top"/>
    </xf>
    <xf numFmtId="175" fontId="53" fillId="24" borderId="10" xfId="0" applyNumberFormat="1" applyFont="1" applyFill="1" applyBorder="1" applyAlignment="1">
      <alignment vertical="top"/>
    </xf>
    <xf numFmtId="175" fontId="26" fillId="24" borderId="10" xfId="0" applyNumberFormat="1" applyFont="1" applyFill="1" applyBorder="1" applyAlignment="1">
      <alignment vertical="top"/>
    </xf>
    <xf numFmtId="165" fontId="53" fillId="24" borderId="10" xfId="0" applyNumberFormat="1" applyFont="1" applyFill="1" applyBorder="1" applyAlignment="1">
      <alignment vertical="top"/>
    </xf>
    <xf numFmtId="0" fontId="22" fillId="18" borderId="10" xfId="0" applyFont="1" applyFill="1" applyBorder="1" applyAlignment="1">
      <alignment horizontal="right"/>
    </xf>
    <xf numFmtId="0" fontId="22" fillId="18" borderId="10" xfId="0" applyFont="1" applyFill="1" applyBorder="1" applyAlignment="1">
      <alignment horizontal="center"/>
    </xf>
    <xf numFmtId="175" fontId="22" fillId="18" borderId="10" xfId="0" applyNumberFormat="1" applyFont="1" applyFill="1" applyBorder="1" applyAlignment="1">
      <alignment horizontal="right"/>
    </xf>
    <xf numFmtId="165" fontId="22" fillId="18" borderId="10" xfId="0" applyNumberFormat="1" applyFont="1" applyFill="1" applyBorder="1" applyAlignment="1">
      <alignment horizontal="right"/>
    </xf>
    <xf numFmtId="0" fontId="87" fillId="14" borderId="0" xfId="0" applyFont="1" applyFill="1" applyAlignment="1">
      <alignment horizontal="center"/>
    </xf>
    <xf numFmtId="0" fontId="23" fillId="14" borderId="0" xfId="0" applyFont="1" applyFill="1" applyAlignment="1">
      <alignment horizontal="right"/>
    </xf>
    <xf numFmtId="0" fontId="46" fillId="18" borderId="0" xfId="0" applyFont="1" applyFill="1" applyAlignment="1">
      <alignment horizontal="center"/>
    </xf>
    <xf numFmtId="0" fontId="35" fillId="18" borderId="10" xfId="0" applyFont="1" applyFill="1" applyBorder="1" applyAlignment="1">
      <alignment horizontal="center" vertical="center" wrapText="1"/>
    </xf>
    <xf numFmtId="0" fontId="54" fillId="0" borderId="0" xfId="0" applyFont="1" applyAlignment="1">
      <alignment horizontal="center"/>
    </xf>
    <xf numFmtId="0" fontId="46" fillId="18" borderId="10" xfId="0" applyFont="1" applyFill="1" applyBorder="1" applyAlignment="1">
      <alignment horizontal="center" vertical="center" wrapText="1"/>
    </xf>
    <xf numFmtId="49" fontId="35" fillId="18" borderId="10" xfId="0" applyNumberFormat="1" applyFont="1" applyFill="1" applyBorder="1" applyAlignment="1">
      <alignment horizontal="center" vertical="center" wrapText="1"/>
    </xf>
    <xf numFmtId="0" fontId="46" fillId="27" borderId="10" xfId="0" applyFont="1" applyFill="1" applyBorder="1" applyAlignment="1">
      <alignment horizontal="center" vertical="center" wrapText="1"/>
    </xf>
    <xf numFmtId="0" fontId="46" fillId="27" borderId="10" xfId="0" applyFont="1" applyFill="1" applyBorder="1" applyAlignment="1">
      <alignment horizontal="center" vertical="center"/>
    </xf>
    <xf numFmtId="3" fontId="46" fillId="27" borderId="30" xfId="0" applyNumberFormat="1" applyFont="1" applyFill="1" applyBorder="1" applyAlignment="1">
      <alignment horizontal="center" vertical="center" wrapText="1"/>
    </xf>
    <xf numFmtId="3" fontId="46" fillId="27" borderId="31" xfId="0" applyNumberFormat="1" applyFont="1" applyFill="1" applyBorder="1" applyAlignment="1">
      <alignment horizontal="center" vertical="center" wrapText="1"/>
    </xf>
    <xf numFmtId="0" fontId="46" fillId="27" borderId="30" xfId="0" applyFont="1" applyFill="1" applyBorder="1" applyAlignment="1">
      <alignment horizontal="center" vertical="center" wrapText="1"/>
    </xf>
    <xf numFmtId="0" fontId="46" fillId="27" borderId="31" xfId="0" applyFont="1" applyFill="1" applyBorder="1" applyAlignment="1">
      <alignment horizontal="center" vertical="center" wrapText="1"/>
    </xf>
    <xf numFmtId="0" fontId="46" fillId="27" borderId="26" xfId="0" applyFont="1" applyFill="1" applyBorder="1" applyAlignment="1">
      <alignment horizontal="center" vertical="center" wrapText="1"/>
    </xf>
    <xf numFmtId="0" fontId="46" fillId="27" borderId="28" xfId="0" applyFont="1" applyFill="1" applyBorder="1" applyAlignment="1">
      <alignment horizontal="center" vertical="center" wrapText="1"/>
    </xf>
    <xf numFmtId="0" fontId="59" fillId="0" borderId="0" xfId="0" applyFont="1" applyAlignment="1">
      <alignment horizontal="center"/>
    </xf>
    <xf numFmtId="0" fontId="59" fillId="0" borderId="11" xfId="0" applyFont="1" applyBorder="1" applyAlignment="1">
      <alignment horizontal="center"/>
    </xf>
    <xf numFmtId="0" fontId="28" fillId="0" borderId="11" xfId="0" applyFont="1" applyBorder="1" applyAlignment="1">
      <alignment horizontal="center"/>
    </xf>
    <xf numFmtId="3" fontId="46" fillId="27" borderId="10" xfId="0" applyNumberFormat="1" applyFont="1" applyFill="1" applyBorder="1" applyAlignment="1">
      <alignment horizontal="center" vertical="center" wrapText="1"/>
    </xf>
    <xf numFmtId="3" fontId="46" fillId="27" borderId="10" xfId="0" applyNumberFormat="1" applyFont="1" applyFill="1" applyBorder="1" applyAlignment="1">
      <alignment horizontal="center" vertical="center"/>
    </xf>
    <xf numFmtId="0" fontId="46" fillId="27" borderId="29" xfId="0" applyFont="1" applyFill="1" applyBorder="1" applyAlignment="1">
      <alignment horizontal="center" vertical="center" wrapText="1"/>
    </xf>
    <xf numFmtId="0" fontId="40" fillId="16" borderId="0" xfId="0" applyFont="1" applyFill="1" applyAlignment="1">
      <alignment horizontal="left" vertical="center"/>
    </xf>
    <xf numFmtId="0" fontId="40" fillId="0" borderId="0" xfId="0" applyFont="1" applyAlignment="1">
      <alignment horizontal="center" vertical="center"/>
    </xf>
    <xf numFmtId="0" fontId="40" fillId="16" borderId="11" xfId="0" applyFont="1" applyFill="1" applyBorder="1" applyAlignment="1">
      <alignment horizontal="left" vertical="center"/>
    </xf>
    <xf numFmtId="0" fontId="41" fillId="0" borderId="0" xfId="0" applyFont="1" applyAlignment="1">
      <alignment horizontal="center"/>
    </xf>
    <xf numFmtId="0" fontId="41" fillId="0" borderId="10" xfId="0" applyFont="1" applyBorder="1" applyAlignment="1">
      <alignment horizontal="center" vertical="center" wrapText="1"/>
    </xf>
    <xf numFmtId="0" fontId="29" fillId="0" borderId="10" xfId="0" applyFont="1" applyBorder="1" applyAlignment="1">
      <alignment horizontal="center" vertical="center" wrapText="1"/>
    </xf>
    <xf numFmtId="49" fontId="29" fillId="0" borderId="10" xfId="0" applyNumberFormat="1" applyFont="1" applyBorder="1" applyAlignment="1">
      <alignment horizontal="center" vertical="center" wrapText="1"/>
    </xf>
    <xf numFmtId="0" fontId="59" fillId="18" borderId="0" xfId="0" applyFont="1" applyFill="1" applyAlignment="1">
      <alignment horizontal="center"/>
    </xf>
    <xf numFmtId="0" fontId="35" fillId="14" borderId="30" xfId="0" applyFont="1" applyFill="1" applyBorder="1" applyAlignment="1">
      <alignment horizontal="center" vertical="center" wrapText="1"/>
    </xf>
    <xf numFmtId="0" fontId="35" fillId="14" borderId="38" xfId="0" applyFont="1" applyFill="1" applyBorder="1" applyAlignment="1">
      <alignment horizontal="center" vertical="center" wrapText="1"/>
    </xf>
    <xf numFmtId="0" fontId="35" fillId="14" borderId="31" xfId="0" applyFont="1" applyFill="1" applyBorder="1" applyAlignment="1">
      <alignment horizontal="center" vertical="center" wrapText="1"/>
    </xf>
    <xf numFmtId="49" fontId="35" fillId="14" borderId="30" xfId="0" applyNumberFormat="1" applyFont="1" applyFill="1" applyBorder="1" applyAlignment="1">
      <alignment horizontal="center" vertical="center" wrapText="1"/>
    </xf>
    <xf numFmtId="49" fontId="35" fillId="14" borderId="38" xfId="0" applyNumberFormat="1" applyFont="1" applyFill="1" applyBorder="1" applyAlignment="1">
      <alignment horizontal="center" vertical="center" wrapText="1"/>
    </xf>
    <xf numFmtId="49" fontId="35" fillId="14" borderId="31" xfId="0" applyNumberFormat="1" applyFont="1" applyFill="1" applyBorder="1" applyAlignment="1">
      <alignment horizontal="center" vertical="center" wrapText="1"/>
    </xf>
    <xf numFmtId="0" fontId="23" fillId="14" borderId="11" xfId="0" applyFont="1" applyFill="1" applyBorder="1" applyAlignment="1">
      <alignment horizontal="right"/>
    </xf>
    <xf numFmtId="0" fontId="20" fillId="0" borderId="0" xfId="0" applyFont="1" applyAlignment="1">
      <alignment horizontal="center"/>
    </xf>
    <xf numFmtId="0" fontId="29" fillId="0" borderId="0" xfId="0" applyFont="1" applyAlignment="1">
      <alignment horizontal="center"/>
    </xf>
    <xf numFmtId="0" fontId="59" fillId="14" borderId="0" xfId="41" applyFont="1" applyFill="1" applyAlignment="1" applyProtection="1">
      <alignment horizontal="center"/>
      <protection locked="0"/>
    </xf>
    <xf numFmtId="0" fontId="46" fillId="14" borderId="0" xfId="41" applyFont="1" applyFill="1" applyAlignment="1" applyProtection="1">
      <alignment horizontal="center"/>
      <protection locked="0"/>
    </xf>
    <xf numFmtId="0" fontId="79" fillId="18" borderId="10" xfId="0" applyFont="1" applyFill="1" applyBorder="1" applyAlignment="1">
      <alignment horizontal="center" vertical="top"/>
    </xf>
    <xf numFmtId="0" fontId="79" fillId="18" borderId="10" xfId="0" applyFont="1" applyFill="1" applyBorder="1" applyAlignment="1">
      <alignment horizontal="center" vertical="top" wrapText="1"/>
    </xf>
    <xf numFmtId="185" fontId="79" fillId="18" borderId="10" xfId="0" applyNumberFormat="1" applyFont="1" applyFill="1" applyBorder="1" applyAlignment="1">
      <alignment horizontal="center" vertical="top"/>
    </xf>
    <xf numFmtId="173" fontId="79" fillId="18" borderId="10" xfId="0" applyNumberFormat="1" applyFont="1" applyFill="1" applyBorder="1" applyAlignment="1">
      <alignment horizontal="center" vertical="top"/>
    </xf>
    <xf numFmtId="0" fontId="28" fillId="0" borderId="0" xfId="0" applyFont="1" applyAlignment="1">
      <alignment horizontal="center"/>
    </xf>
    <xf numFmtId="0" fontId="59" fillId="0" borderId="0" xfId="0" applyFont="1" applyAlignment="1">
      <alignment horizontal="center" vertical="center"/>
    </xf>
    <xf numFmtId="0" fontId="46" fillId="0" borderId="0" xfId="0" applyFont="1" applyAlignment="1">
      <alignment horizontal="center" vertical="center"/>
    </xf>
    <xf numFmtId="0" fontId="40" fillId="0" borderId="26" xfId="0" applyFont="1" applyBorder="1" applyAlignment="1">
      <alignment horizontal="center" vertical="center"/>
    </xf>
    <xf numFmtId="0" fontId="40" fillId="0" borderId="28" xfId="0" applyFont="1" applyBorder="1" applyAlignment="1">
      <alignment horizontal="center" vertical="center"/>
    </xf>
    <xf numFmtId="0" fontId="40" fillId="0" borderId="29" xfId="0" applyFont="1" applyBorder="1" applyAlignment="1">
      <alignment horizontal="center" vertical="center"/>
    </xf>
    <xf numFmtId="0" fontId="87" fillId="0" borderId="11" xfId="0" applyFont="1" applyBorder="1" applyAlignment="1">
      <alignment horizontal="right" vertical="center"/>
    </xf>
    <xf numFmtId="0" fontId="46" fillId="0" borderId="0" xfId="0" applyFont="1" applyAlignment="1">
      <alignment horizontal="center"/>
    </xf>
    <xf numFmtId="0" fontId="73" fillId="18" borderId="0" xfId="0" applyFont="1" applyFill="1" applyAlignment="1">
      <alignment horizontal="center"/>
    </xf>
    <xf numFmtId="0" fontId="39" fillId="18" borderId="0" xfId="0" applyFont="1" applyFill="1" applyAlignment="1">
      <alignment horizontal="center"/>
    </xf>
    <xf numFmtId="49" fontId="39" fillId="14" borderId="0" xfId="0" applyNumberFormat="1" applyFont="1" applyFill="1" applyAlignment="1">
      <alignment horizontal="center"/>
    </xf>
    <xf numFmtId="49" fontId="58" fillId="14" borderId="0" xfId="0" applyNumberFormat="1" applyFont="1" applyFill="1" applyAlignment="1">
      <alignment horizontal="center"/>
    </xf>
    <xf numFmtId="0" fontId="59" fillId="18" borderId="0" xfId="0" applyFont="1" applyFill="1" applyAlignment="1">
      <alignment horizontal="center" vertical="top"/>
    </xf>
    <xf numFmtId="0" fontId="59" fillId="18" borderId="0" xfId="0" applyFont="1" applyFill="1" applyAlignment="1">
      <alignment horizontal="center" vertical="top" wrapText="1"/>
    </xf>
    <xf numFmtId="175" fontId="59" fillId="18" borderId="0" xfId="0" applyNumberFormat="1" applyFont="1" applyFill="1" applyAlignment="1">
      <alignment horizontal="center" vertical="top"/>
    </xf>
    <xf numFmtId="165" fontId="59" fillId="18" borderId="0" xfId="0" applyNumberFormat="1" applyFont="1" applyFill="1" applyAlignment="1">
      <alignment horizontal="center" vertical="top"/>
    </xf>
    <xf numFmtId="0" fontId="46" fillId="18" borderId="0" xfId="0" applyFont="1" applyFill="1" applyAlignment="1">
      <alignment horizontal="center" vertical="top"/>
    </xf>
    <xf numFmtId="0" fontId="46" fillId="18" borderId="0" xfId="0" applyFont="1" applyFill="1" applyAlignment="1">
      <alignment horizontal="center" vertical="top" wrapText="1"/>
    </xf>
    <xf numFmtId="175" fontId="46" fillId="18" borderId="0" xfId="0" applyNumberFormat="1" applyFont="1" applyFill="1" applyAlignment="1">
      <alignment horizontal="center" vertical="top"/>
    </xf>
    <xf numFmtId="165" fontId="46" fillId="18" borderId="0" xfId="0" applyNumberFormat="1" applyFont="1" applyFill="1" applyAlignment="1">
      <alignment horizontal="center" vertical="top"/>
    </xf>
    <xf numFmtId="0" fontId="35" fillId="18" borderId="0" xfId="0" applyFont="1" applyFill="1" applyAlignment="1">
      <alignment horizontal="center" vertical="top"/>
    </xf>
    <xf numFmtId="0" fontId="35" fillId="18" borderId="0" xfId="0" applyFont="1" applyFill="1" applyAlignment="1">
      <alignment horizontal="center" vertical="top" wrapText="1"/>
    </xf>
    <xf numFmtId="175" fontId="35" fillId="18" borderId="0" xfId="0" applyNumberFormat="1" applyFont="1" applyFill="1" applyAlignment="1">
      <alignment horizontal="center" vertical="top"/>
    </xf>
    <xf numFmtId="165" fontId="35" fillId="18" borderId="0" xfId="0" applyNumberFormat="1" applyFont="1" applyFill="1" applyAlignment="1">
      <alignment horizontal="center" vertical="top"/>
    </xf>
    <xf numFmtId="49" fontId="59" fillId="0" borderId="0" xfId="39" applyNumberFormat="1" applyFont="1" applyAlignment="1" applyProtection="1">
      <alignment horizontal="center" vertical="center"/>
      <protection locked="0"/>
    </xf>
    <xf numFmtId="43" fontId="40" fillId="0" borderId="0" xfId="0" applyNumberFormat="1" applyFont="1" applyAlignment="1">
      <alignment horizontal="center" vertical="center" wrapText="1"/>
    </xf>
    <xf numFmtId="0" fontId="40" fillId="0" borderId="10" xfId="39" applyFont="1" applyBorder="1" applyAlignment="1" applyProtection="1">
      <alignment horizontal="center" vertical="center"/>
      <protection locked="0"/>
    </xf>
    <xf numFmtId="4" fontId="40" fillId="0" borderId="10" xfId="39" applyNumberFormat="1" applyFont="1" applyBorder="1" applyAlignment="1" applyProtection="1">
      <alignment horizontal="center" vertical="center"/>
      <protection locked="0"/>
    </xf>
    <xf numFmtId="3" fontId="119" fillId="0" borderId="0" xfId="39" applyNumberFormat="1" applyFont="1" applyAlignment="1" applyProtection="1">
      <alignment horizontal="center" vertical="center"/>
      <protection hidden="1"/>
    </xf>
    <xf numFmtId="0" fontId="49" fillId="0" borderId="19" xfId="39" applyFont="1" applyBorder="1" applyAlignment="1" applyProtection="1">
      <alignment horizontal="center" vertical="center"/>
      <protection locked="0"/>
    </xf>
    <xf numFmtId="0" fontId="49" fillId="0" borderId="19" xfId="39" applyFont="1" applyBorder="1" applyAlignment="1" applyProtection="1">
      <alignment horizontal="left" vertical="center"/>
      <protection locked="0"/>
    </xf>
    <xf numFmtId="4" fontId="49" fillId="0" borderId="19" xfId="39" applyNumberFormat="1" applyFont="1" applyBorder="1" applyAlignment="1" applyProtection="1">
      <alignment horizontal="right" vertical="center"/>
      <protection locked="0"/>
    </xf>
    <xf numFmtId="0" fontId="40" fillId="0" borderId="0" xfId="48" applyFont="1" applyAlignment="1" applyProtection="1">
      <alignment horizontal="left"/>
      <protection locked="0"/>
    </xf>
    <xf numFmtId="0" fontId="40" fillId="0" borderId="0" xfId="48" applyFont="1" applyAlignment="1" applyProtection="1">
      <alignment horizontal="center" vertical="center"/>
      <protection locked="0"/>
    </xf>
    <xf numFmtId="3" fontId="40" fillId="0" borderId="0" xfId="48" applyNumberFormat="1" applyFont="1" applyAlignment="1" applyProtection="1">
      <alignment horizontal="center" vertical="center"/>
      <protection locked="0"/>
    </xf>
    <xf numFmtId="4" fontId="117" fillId="0" borderId="0" xfId="39" applyNumberFormat="1" applyFont="1" applyAlignment="1" applyProtection="1">
      <alignment horizontal="center" vertical="center"/>
      <protection locked="0"/>
    </xf>
    <xf numFmtId="3" fontId="119" fillId="0" borderId="0" xfId="39" applyNumberFormat="1" applyFont="1" applyAlignment="1" applyProtection="1">
      <alignment horizontal="center" vertical="center"/>
      <protection locked="0"/>
    </xf>
    <xf numFmtId="0" fontId="119" fillId="0" borderId="0" xfId="39" applyFont="1" applyAlignment="1" applyProtection="1">
      <alignment horizontal="center" vertical="center"/>
      <protection locked="0"/>
    </xf>
    <xf numFmtId="0" fontId="105" fillId="0" borderId="0" xfId="39" applyFont="1" applyAlignment="1" applyProtection="1">
      <alignment horizontal="right" vertical="center"/>
      <protection locked="0"/>
    </xf>
    <xf numFmtId="0" fontId="119" fillId="0" borderId="0" xfId="39" applyFont="1" applyAlignment="1" applyProtection="1">
      <alignment horizontal="center"/>
      <protection hidden="1"/>
    </xf>
    <xf numFmtId="0" fontId="119" fillId="0" borderId="0" xfId="39" applyFont="1" applyAlignment="1" applyProtection="1">
      <alignment horizontal="left" vertical="center"/>
      <protection hidden="1"/>
    </xf>
    <xf numFmtId="0" fontId="119" fillId="0" borderId="0" xfId="39" applyFont="1" applyAlignment="1" applyProtection="1">
      <alignment horizontal="left"/>
      <protection hidden="1"/>
    </xf>
    <xf numFmtId="10" fontId="119" fillId="0" borderId="0" xfId="39" applyNumberFormat="1" applyFont="1" applyAlignment="1" applyProtection="1">
      <alignment horizontal="center"/>
      <protection hidden="1"/>
    </xf>
    <xf numFmtId="0" fontId="119" fillId="0" borderId="0" xfId="39" applyFont="1" applyAlignment="1" applyProtection="1">
      <alignment horizontal="center" vertical="center"/>
      <protection hidden="1"/>
    </xf>
    <xf numFmtId="0" fontId="35" fillId="0" borderId="10" xfId="0" applyFont="1" applyBorder="1" applyAlignment="1" applyProtection="1">
      <alignment horizontal="center" vertical="center"/>
      <protection locked="0"/>
    </xf>
    <xf numFmtId="0" fontId="59" fillId="0" borderId="0" xfId="0" applyFont="1" applyAlignment="1" applyProtection="1">
      <alignment horizontal="center" vertical="top"/>
      <protection locked="0"/>
    </xf>
    <xf numFmtId="0" fontId="69" fillId="0" borderId="0" xfId="0" applyFont="1" applyAlignment="1" applyProtection="1">
      <alignment vertical="top"/>
      <protection locked="0"/>
    </xf>
    <xf numFmtId="0" fontId="46" fillId="0" borderId="0" xfId="0" applyFont="1" applyAlignment="1" applyProtection="1">
      <alignment horizontal="center" vertical="top" wrapText="1"/>
      <protection locked="0"/>
    </xf>
    <xf numFmtId="0" fontId="28" fillId="0" borderId="0" xfId="0" applyFont="1" applyAlignment="1" applyProtection="1">
      <alignment vertical="top"/>
      <protection locked="0"/>
    </xf>
    <xf numFmtId="0" fontId="40" fillId="0" borderId="10" xfId="0" applyFont="1" applyBorder="1" applyAlignment="1" applyProtection="1">
      <alignment horizontal="center" vertical="center"/>
      <protection locked="0"/>
    </xf>
    <xf numFmtId="0" fontId="35" fillId="0" borderId="30" xfId="0" applyFont="1" applyBorder="1" applyAlignment="1" applyProtection="1">
      <alignment horizontal="center" vertical="center"/>
      <protection locked="0"/>
    </xf>
    <xf numFmtId="0" fontId="35" fillId="0" borderId="31" xfId="0" applyFont="1" applyBorder="1" applyAlignment="1" applyProtection="1">
      <alignment horizontal="center" vertical="center"/>
      <protection locked="0"/>
    </xf>
    <xf numFmtId="49" fontId="54" fillId="0" borderId="0" xfId="40" applyNumberFormat="1" applyFont="1" applyAlignment="1">
      <alignment horizontal="center" vertical="center"/>
    </xf>
    <xf numFmtId="0" fontId="20" fillId="0" borderId="0" xfId="40" applyFont="1" applyAlignment="1">
      <alignment horizontal="center" vertical="center"/>
    </xf>
    <xf numFmtId="0" fontId="35" fillId="18" borderId="10" xfId="0" applyFont="1" applyFill="1" applyBorder="1" applyAlignment="1">
      <alignment horizontal="center" wrapText="1"/>
    </xf>
    <xf numFmtId="0" fontId="35" fillId="14" borderId="26" xfId="0" applyFont="1" applyFill="1" applyBorder="1" applyAlignment="1">
      <alignment horizontal="center" vertical="center"/>
    </xf>
    <xf numFmtId="0" fontId="35" fillId="14" borderId="29" xfId="0" applyFont="1" applyFill="1" applyBorder="1" applyAlignment="1">
      <alignment horizontal="center" vertical="center"/>
    </xf>
    <xf numFmtId="0" fontId="59" fillId="14" borderId="0" xfId="0" applyFont="1" applyFill="1" applyAlignment="1">
      <alignment horizontal="center" vertical="top"/>
    </xf>
    <xf numFmtId="0" fontId="46" fillId="14" borderId="0" xfId="0" applyFont="1" applyFill="1" applyAlignment="1">
      <alignment horizontal="center" vertical="top"/>
    </xf>
    <xf numFmtId="0" fontId="46" fillId="14" borderId="11" xfId="0" applyFont="1" applyFill="1" applyBorder="1" applyAlignment="1">
      <alignment horizontal="center" vertical="top"/>
    </xf>
    <xf numFmtId="49" fontId="35" fillId="14" borderId="30" xfId="0" applyNumberFormat="1" applyFont="1" applyFill="1" applyBorder="1" applyAlignment="1">
      <alignment horizontal="center" vertical="center"/>
    </xf>
    <xf numFmtId="49" fontId="35" fillId="14" borderId="31" xfId="0" applyNumberFormat="1" applyFont="1" applyFill="1" applyBorder="1" applyAlignment="1">
      <alignment horizontal="center" vertical="center"/>
    </xf>
    <xf numFmtId="0" fontId="35" fillId="14" borderId="28" xfId="0" applyFont="1" applyFill="1" applyBorder="1" applyAlignment="1">
      <alignment horizontal="center" vertical="center"/>
    </xf>
    <xf numFmtId="0" fontId="60" fillId="14" borderId="0" xfId="0" applyFont="1" applyFill="1" applyAlignment="1">
      <alignment horizontal="right"/>
    </xf>
    <xf numFmtId="0" fontId="40" fillId="14" borderId="0" xfId="0" applyFont="1" applyFill="1" applyAlignment="1">
      <alignment horizontal="center"/>
    </xf>
    <xf numFmtId="0" fontId="84" fillId="14" borderId="0" xfId="0" applyFont="1" applyFill="1" applyAlignment="1">
      <alignment horizontal="center"/>
    </xf>
    <xf numFmtId="0" fontId="63" fillId="14" borderId="0" xfId="0" quotePrefix="1" applyFont="1" applyFill="1" applyAlignment="1">
      <alignment horizontal="center"/>
    </xf>
    <xf numFmtId="0" fontId="63" fillId="14" borderId="0" xfId="0" applyFont="1" applyFill="1" applyAlignment="1">
      <alignment horizontal="center"/>
    </xf>
    <xf numFmtId="0" fontId="35" fillId="14" borderId="0" xfId="0" applyFont="1" applyFill="1" applyAlignment="1">
      <alignment horizontal="center"/>
    </xf>
    <xf numFmtId="0" fontId="60" fillId="18" borderId="10" xfId="0" applyFont="1" applyFill="1" applyBorder="1" applyAlignment="1">
      <alignment horizontal="center"/>
    </xf>
    <xf numFmtId="0" fontId="25" fillId="18" borderId="17" xfId="0" applyFont="1" applyFill="1" applyBorder="1"/>
    <xf numFmtId="173" fontId="25" fillId="18" borderId="17" xfId="0" applyNumberFormat="1" applyFont="1" applyFill="1" applyBorder="1"/>
    <xf numFmtId="0" fontId="22" fillId="18" borderId="10" xfId="0" applyFont="1" applyFill="1" applyBorder="1"/>
    <xf numFmtId="173" fontId="22" fillId="18" borderId="10" xfId="0" applyNumberFormat="1" applyFont="1" applyFill="1" applyBorder="1"/>
    <xf numFmtId="0" fontId="60" fillId="14" borderId="11" xfId="0" applyFont="1" applyFill="1" applyBorder="1" applyAlignment="1">
      <alignment horizontal="right"/>
    </xf>
    <xf numFmtId="0" fontId="28" fillId="14" borderId="0" xfId="0" quotePrefix="1" applyFont="1" applyFill="1" applyAlignment="1">
      <alignment horizontal="center"/>
    </xf>
    <xf numFmtId="0" fontId="28" fillId="14" borderId="0" xfId="0" applyFont="1" applyFill="1" applyAlignment="1">
      <alignment horizontal="center"/>
    </xf>
    <xf numFmtId="0" fontId="76" fillId="0" borderId="10" xfId="0" applyFont="1" applyBorder="1" applyAlignment="1">
      <alignment horizontal="right" vertical="center"/>
    </xf>
    <xf numFmtId="0" fontId="22" fillId="0" borderId="10" xfId="0" applyFont="1" applyBorder="1" applyAlignment="1">
      <alignment horizontal="center" vertical="center"/>
    </xf>
    <xf numFmtId="0" fontId="22" fillId="0" borderId="10" xfId="0" applyFont="1" applyBorder="1" applyAlignment="1">
      <alignment horizontal="right" vertical="center"/>
    </xf>
    <xf numFmtId="172" fontId="22" fillId="0" borderId="10" xfId="0" applyNumberFormat="1" applyFont="1" applyBorder="1" applyAlignment="1">
      <alignment horizontal="right" vertical="center"/>
    </xf>
    <xf numFmtId="173" fontId="22" fillId="0" borderId="10" xfId="0" applyNumberFormat="1" applyFont="1" applyBorder="1" applyAlignment="1">
      <alignment horizontal="right" vertical="center"/>
    </xf>
    <xf numFmtId="0" fontId="77" fillId="0" borderId="10" xfId="0" applyFont="1" applyBorder="1" applyAlignment="1">
      <alignment horizontal="center" vertical="center"/>
    </xf>
    <xf numFmtId="0" fontId="77" fillId="0" borderId="0" xfId="0" applyFont="1" applyAlignment="1">
      <alignment horizontal="center"/>
    </xf>
    <xf numFmtId="0" fontId="36" fillId="0" borderId="0" xfId="0" applyFont="1" applyAlignment="1">
      <alignment horizontal="right"/>
    </xf>
    <xf numFmtId="0" fontId="39" fillId="0" borderId="0" xfId="0" applyFont="1" applyAlignment="1">
      <alignment horizontal="center" vertical="top" wrapText="1"/>
    </xf>
    <xf numFmtId="0" fontId="96" fillId="0" borderId="0" xfId="0" applyFont="1" applyAlignment="1">
      <alignment horizontal="center" vertical="top" wrapText="1"/>
    </xf>
    <xf numFmtId="0" fontId="47" fillId="0" borderId="0" xfId="0" applyFont="1" applyAlignment="1">
      <alignment horizontal="center" vertical="center" wrapText="1"/>
    </xf>
    <xf numFmtId="0" fontId="73" fillId="0" borderId="0" xfId="0" applyFont="1" applyAlignment="1">
      <alignment horizontal="left" vertical="top" wrapText="1"/>
    </xf>
    <xf numFmtId="0" fontId="11" fillId="0" borderId="0" xfId="35" applyAlignment="1">
      <alignment horizontal="center" vertical="top" wrapText="1"/>
    </xf>
    <xf numFmtId="0" fontId="88" fillId="0" borderId="0" xfId="0" applyFont="1" applyAlignment="1">
      <alignment horizontal="center" vertical="top" wrapText="1"/>
    </xf>
    <xf numFmtId="0" fontId="30" fillId="0" borderId="0" xfId="0" applyFont="1" applyAlignment="1">
      <alignment horizontal="center" vertical="top" wrapText="1"/>
    </xf>
    <xf numFmtId="177" fontId="50" fillId="0" borderId="0" xfId="0" applyNumberFormat="1" applyFont="1" applyAlignment="1">
      <alignment horizontal="center" vertical="top" wrapText="1"/>
    </xf>
    <xf numFmtId="0" fontId="50" fillId="0" borderId="0" xfId="0" applyFont="1" applyAlignment="1">
      <alignment horizontal="left" vertical="top" wrapText="1"/>
    </xf>
    <xf numFmtId="0" fontId="37" fillId="0" borderId="0" xfId="0" applyFont="1" applyAlignment="1">
      <alignment horizontal="center" vertical="top" wrapText="1"/>
    </xf>
    <xf numFmtId="0" fontId="61" fillId="0" borderId="0" xfId="0" applyFont="1" applyAlignment="1">
      <alignment horizontal="center" vertical="top" wrapText="1"/>
    </xf>
    <xf numFmtId="49" fontId="30" fillId="0" borderId="0" xfId="0" applyNumberFormat="1" applyFont="1" applyAlignment="1">
      <alignment horizontal="left" vertical="top" wrapText="1"/>
    </xf>
    <xf numFmtId="0" fontId="30" fillId="0" borderId="0" xfId="0" applyFont="1" applyAlignment="1">
      <alignment horizontal="left" vertical="top" wrapText="1"/>
    </xf>
    <xf numFmtId="177" fontId="73" fillId="0" borderId="0" xfId="0" applyNumberFormat="1" applyFont="1" applyAlignment="1">
      <alignment horizontal="right" vertical="top" wrapText="1"/>
    </xf>
    <xf numFmtId="0" fontId="65" fillId="0" borderId="0" xfId="0" applyFont="1" applyAlignment="1">
      <alignment horizontal="left" vertical="top" wrapText="1"/>
    </xf>
    <xf numFmtId="0" fontId="61" fillId="0" borderId="0" xfId="0" applyFont="1" applyAlignment="1">
      <alignment horizontal="left" vertical="top" wrapText="1"/>
    </xf>
    <xf numFmtId="49" fontId="61" fillId="0" borderId="0" xfId="0" applyNumberFormat="1" applyFont="1" applyAlignment="1">
      <alignment horizontal="left" vertical="top" wrapText="1"/>
    </xf>
    <xf numFmtId="0" fontId="67" fillId="14" borderId="0" xfId="0" applyFont="1" applyFill="1" applyAlignment="1">
      <alignment horizontal="left"/>
    </xf>
    <xf numFmtId="0" fontId="28" fillId="14" borderId="0" xfId="0" applyFont="1" applyFill="1" applyAlignment="1">
      <alignment horizontal="left"/>
    </xf>
    <xf numFmtId="0" fontId="46" fillId="14" borderId="11" xfId="0" applyFont="1" applyFill="1" applyBorder="1" applyAlignment="1">
      <alignment horizontal="left"/>
    </xf>
    <xf numFmtId="0" fontId="46" fillId="14" borderId="0" xfId="0" applyFont="1" applyFill="1" applyAlignment="1">
      <alignment horizontal="left"/>
    </xf>
    <xf numFmtId="0" fontId="54" fillId="0" borderId="10" xfId="0" applyFont="1" applyBorder="1" applyAlignment="1">
      <alignment horizontal="center"/>
    </xf>
    <xf numFmtId="49" fontId="41" fillId="0" borderId="0" xfId="0" applyNumberFormat="1" applyFont="1" applyAlignment="1">
      <alignment horizontal="center"/>
    </xf>
    <xf numFmtId="49" fontId="29" fillId="0" borderId="0" xfId="0" applyNumberFormat="1" applyFont="1" applyAlignment="1">
      <alignment horizontal="center"/>
    </xf>
    <xf numFmtId="0" fontId="54" fillId="0" borderId="0" xfId="0" applyFont="1" applyAlignment="1">
      <alignment horizontal="center" vertical="top"/>
    </xf>
    <xf numFmtId="0" fontId="54" fillId="0" borderId="0" xfId="0" applyFont="1" applyAlignment="1">
      <alignment horizontal="center" vertical="top" wrapText="1"/>
    </xf>
    <xf numFmtId="175" fontId="54" fillId="0" borderId="0" xfId="0" applyNumberFormat="1" applyFont="1" applyAlignment="1">
      <alignment horizontal="center" vertical="top"/>
    </xf>
    <xf numFmtId="165" fontId="54" fillId="0" borderId="0" xfId="0" applyNumberFormat="1" applyFont="1" applyAlignment="1">
      <alignment horizontal="center" vertical="top"/>
    </xf>
    <xf numFmtId="0" fontId="41" fillId="0" borderId="0" xfId="0" applyFont="1" applyAlignment="1">
      <alignment horizontal="center" vertical="top"/>
    </xf>
    <xf numFmtId="0" fontId="41" fillId="0" borderId="0" xfId="0" applyFont="1" applyAlignment="1">
      <alignment horizontal="center" vertical="top" wrapText="1"/>
    </xf>
    <xf numFmtId="175" fontId="41" fillId="0" borderId="0" xfId="0" applyNumberFormat="1" applyFont="1" applyAlignment="1">
      <alignment horizontal="center" vertical="top"/>
    </xf>
    <xf numFmtId="165" fontId="41" fillId="0" borderId="0" xfId="0" applyNumberFormat="1" applyFont="1" applyAlignment="1">
      <alignment horizontal="center" vertical="top"/>
    </xf>
    <xf numFmtId="0" fontId="29" fillId="0" borderId="0" xfId="0" applyFont="1" applyAlignment="1">
      <alignment horizontal="center" vertical="top"/>
    </xf>
    <xf numFmtId="0" fontId="29" fillId="0" borderId="0" xfId="0" applyFont="1" applyAlignment="1">
      <alignment horizontal="center" vertical="top" wrapText="1"/>
    </xf>
    <xf numFmtId="175" fontId="29" fillId="0" borderId="0" xfId="0" applyNumberFormat="1" applyFont="1" applyAlignment="1">
      <alignment horizontal="center" vertical="top"/>
    </xf>
    <xf numFmtId="165" fontId="29" fillId="0" borderId="0" xfId="0" applyNumberFormat="1" applyFont="1" applyAlignment="1">
      <alignment horizontal="center" vertical="top"/>
    </xf>
    <xf numFmtId="0" fontId="29" fillId="0" borderId="10" xfId="0" applyFont="1" applyBorder="1" applyAlignment="1">
      <alignment horizontal="center" vertical="center"/>
    </xf>
    <xf numFmtId="175" fontId="29" fillId="0" borderId="10" xfId="0" applyNumberFormat="1" applyFont="1" applyBorder="1" applyAlignment="1">
      <alignment horizontal="center" vertical="center"/>
    </xf>
    <xf numFmtId="165" fontId="29" fillId="0" borderId="10" xfId="0" applyNumberFormat="1" applyFont="1" applyBorder="1" applyAlignment="1">
      <alignment horizontal="center" vertical="center"/>
    </xf>
    <xf numFmtId="0" fontId="54" fillId="0" borderId="0" xfId="0" applyFont="1" applyAlignment="1">
      <alignment horizontal="center" vertical="center"/>
    </xf>
    <xf numFmtId="0" fontId="32" fillId="0" borderId="0" xfId="0" applyFont="1" applyAlignment="1">
      <alignment horizontal="center" vertical="center"/>
    </xf>
    <xf numFmtId="0" fontId="32" fillId="0" borderId="0" xfId="0" applyFont="1" applyAlignment="1">
      <alignment horizontal="right" vertical="center"/>
    </xf>
    <xf numFmtId="0" fontId="91" fillId="0" borderId="0" xfId="0" applyFont="1" applyAlignment="1">
      <alignment horizontal="center" vertical="center"/>
    </xf>
    <xf numFmtId="0" fontId="20" fillId="0" borderId="0" xfId="0" applyFont="1" applyAlignment="1">
      <alignment horizontal="right"/>
    </xf>
    <xf numFmtId="0" fontId="33" fillId="0" borderId="0" xfId="0" applyFont="1" applyAlignment="1">
      <alignment horizontal="right"/>
    </xf>
    <xf numFmtId="0" fontId="20" fillId="0" borderId="0" xfId="0" applyFont="1" applyAlignment="1">
      <alignment horizontal="right" wrapText="1"/>
    </xf>
    <xf numFmtId="0" fontId="20" fillId="0" borderId="0" xfId="0" applyFont="1" applyAlignment="1">
      <alignment horizontal="left"/>
    </xf>
    <xf numFmtId="0" fontId="20" fillId="0" borderId="26"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44" xfId="0" applyFont="1" applyBorder="1" applyAlignment="1">
      <alignment horizontal="left"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0" xfId="0" applyFont="1" applyBorder="1" applyAlignment="1">
      <alignment horizontal="center" vertical="center"/>
    </xf>
    <xf numFmtId="0" fontId="20" fillId="28" borderId="26" xfId="0" applyFont="1" applyFill="1" applyBorder="1" applyAlignment="1">
      <alignment horizontal="left" vertical="center" wrapText="1"/>
    </xf>
    <xf numFmtId="0" fontId="20" fillId="28" borderId="28" xfId="0" applyFont="1" applyFill="1" applyBorder="1" applyAlignment="1">
      <alignment horizontal="left" vertical="center" wrapText="1"/>
    </xf>
    <xf numFmtId="0" fontId="20" fillId="28" borderId="29" xfId="0" applyFont="1" applyFill="1" applyBorder="1" applyAlignment="1">
      <alignment horizontal="left" vertical="center" wrapText="1"/>
    </xf>
    <xf numFmtId="0" fontId="20" fillId="0" borderId="0" xfId="0" applyFont="1" applyAlignment="1">
      <alignment horizontal="left" vertical="top"/>
    </xf>
    <xf numFmtId="0" fontId="20" fillId="0" borderId="0" xfId="0" applyFont="1" applyAlignment="1">
      <alignment horizontal="center" wrapText="1"/>
    </xf>
    <xf numFmtId="0" fontId="21" fillId="0" borderId="10" xfId="0" applyFont="1" applyBorder="1" applyAlignment="1">
      <alignment horizontal="center" vertical="center"/>
    </xf>
    <xf numFmtId="0" fontId="20" fillId="28" borderId="0" xfId="0" applyFont="1" applyFill="1" applyAlignment="1">
      <alignment horizontal="left"/>
    </xf>
    <xf numFmtId="0" fontId="21" fillId="0" borderId="26" xfId="0" applyFont="1" applyBorder="1" applyAlignment="1">
      <alignment horizontal="left"/>
    </xf>
    <xf numFmtId="0" fontId="21" fillId="0" borderId="28" xfId="0" applyFont="1" applyBorder="1" applyAlignment="1">
      <alignment horizontal="left"/>
    </xf>
    <xf numFmtId="0" fontId="21" fillId="0" borderId="29" xfId="0" applyFont="1" applyBorder="1" applyAlignment="1">
      <alignment horizontal="left"/>
    </xf>
    <xf numFmtId="0" fontId="21" fillId="0" borderId="10"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6" xfId="0" applyFont="1" applyBorder="1" applyAlignment="1">
      <alignment horizontal="left"/>
    </xf>
    <xf numFmtId="0" fontId="20" fillId="0" borderId="28" xfId="0" applyFont="1" applyBorder="1" applyAlignment="1">
      <alignment horizontal="left"/>
    </xf>
    <xf numFmtId="0" fontId="20" fillId="0" borderId="29" xfId="0" applyFont="1" applyBorder="1" applyAlignment="1">
      <alignment horizontal="left"/>
    </xf>
    <xf numFmtId="0" fontId="20" fillId="28" borderId="0" xfId="0" applyFont="1" applyFill="1" applyAlignment="1">
      <alignment horizontal="left" vertical="top" wrapText="1"/>
    </xf>
    <xf numFmtId="0" fontId="21" fillId="0" borderId="26" xfId="0" applyFont="1" applyBorder="1" applyAlignment="1">
      <alignment horizontal="center" vertical="center" wrapText="1"/>
    </xf>
    <xf numFmtId="0" fontId="21" fillId="0" borderId="28" xfId="0" applyFont="1" applyBorder="1" applyAlignment="1">
      <alignment horizontal="center" vertical="center" wrapText="1"/>
    </xf>
    <xf numFmtId="0" fontId="72" fillId="0" borderId="0" xfId="0" applyFont="1" applyAlignment="1">
      <alignment horizontal="center" vertical="top" wrapText="1"/>
    </xf>
    <xf numFmtId="0" fontId="39" fillId="0" borderId="0" xfId="0" applyFont="1" applyAlignment="1">
      <alignment horizontal="left" vertical="top" wrapText="1"/>
    </xf>
    <xf numFmtId="3" fontId="39" fillId="26" borderId="30" xfId="0" applyNumberFormat="1" applyFont="1" applyFill="1" applyBorder="1" applyAlignment="1">
      <alignment horizontal="center" vertical="center" wrapText="1"/>
    </xf>
    <xf numFmtId="3" fontId="39" fillId="26" borderId="38" xfId="0" applyNumberFormat="1" applyFont="1" applyFill="1" applyBorder="1" applyAlignment="1">
      <alignment horizontal="center" vertical="center" wrapText="1"/>
    </xf>
    <xf numFmtId="3" fontId="39" fillId="26" borderId="31" xfId="0" applyNumberFormat="1" applyFont="1" applyFill="1" applyBorder="1" applyAlignment="1">
      <alignment horizontal="center" vertical="center" wrapText="1"/>
    </xf>
    <xf numFmtId="191" fontId="39" fillId="26" borderId="30" xfId="0" applyNumberFormat="1" applyFont="1" applyFill="1" applyBorder="1" applyAlignment="1">
      <alignment horizontal="center" vertical="center" wrapText="1"/>
    </xf>
    <xf numFmtId="191" fontId="39" fillId="26" borderId="38" xfId="0" applyNumberFormat="1" applyFont="1" applyFill="1" applyBorder="1" applyAlignment="1">
      <alignment horizontal="center" vertical="center" wrapText="1"/>
    </xf>
    <xf numFmtId="191" fontId="39" fillId="26" borderId="31" xfId="0" applyNumberFormat="1" applyFont="1" applyFill="1" applyBorder="1" applyAlignment="1">
      <alignment horizontal="center" vertical="center" wrapText="1"/>
    </xf>
    <xf numFmtId="3" fontId="39" fillId="26" borderId="26" xfId="0" applyNumberFormat="1" applyFont="1" applyFill="1" applyBorder="1" applyAlignment="1">
      <alignment horizontal="center" vertical="center" wrapText="1"/>
    </xf>
    <xf numFmtId="3" fontId="39" fillId="26" borderId="29" xfId="0" applyNumberFormat="1" applyFont="1" applyFill="1" applyBorder="1" applyAlignment="1">
      <alignment horizontal="center" vertical="center" wrapText="1"/>
    </xf>
    <xf numFmtId="0" fontId="39" fillId="26" borderId="30" xfId="0" applyFont="1" applyFill="1" applyBorder="1" applyAlignment="1">
      <alignment horizontal="center" vertical="center" wrapText="1"/>
    </xf>
    <xf numFmtId="0" fontId="39" fillId="26" borderId="38" xfId="0" applyFont="1" applyFill="1" applyBorder="1" applyAlignment="1">
      <alignment horizontal="center" vertical="center" wrapText="1"/>
    </xf>
    <xf numFmtId="0" fontId="39" fillId="26" borderId="31" xfId="0" applyFont="1" applyFill="1" applyBorder="1" applyAlignment="1">
      <alignment horizontal="center" vertical="center" wrapText="1"/>
    </xf>
    <xf numFmtId="190" fontId="39" fillId="26" borderId="30" xfId="0" applyNumberFormat="1" applyFont="1" applyFill="1" applyBorder="1" applyAlignment="1">
      <alignment horizontal="center" vertical="center" wrapText="1"/>
    </xf>
    <xf numFmtId="190" fontId="39" fillId="26" borderId="38" xfId="0" applyNumberFormat="1" applyFont="1" applyFill="1" applyBorder="1" applyAlignment="1">
      <alignment horizontal="center" vertical="center" wrapText="1"/>
    </xf>
    <xf numFmtId="190" fontId="39" fillId="26" borderId="31" xfId="0" applyNumberFormat="1" applyFont="1" applyFill="1" applyBorder="1" applyAlignment="1">
      <alignment horizontal="center" vertical="center" wrapText="1"/>
    </xf>
    <xf numFmtId="0" fontId="30" fillId="0" borderId="11" xfId="0" applyFont="1" applyBorder="1" applyAlignment="1">
      <alignment horizontal="left" vertical="top" wrapText="1"/>
    </xf>
    <xf numFmtId="0" fontId="51" fillId="0" borderId="0" xfId="0" applyFont="1" applyAlignment="1">
      <alignment horizontal="center" vertical="top" wrapText="1"/>
    </xf>
    <xf numFmtId="49" fontId="63" fillId="0" borderId="0" xfId="0" applyNumberFormat="1" applyFont="1" applyAlignment="1">
      <alignment horizontal="center" wrapText="1"/>
    </xf>
    <xf numFmtId="49" fontId="49" fillId="0" borderId="0" xfId="0" applyNumberFormat="1" applyFont="1" applyAlignment="1">
      <alignment horizontal="center"/>
    </xf>
    <xf numFmtId="49" fontId="35" fillId="0" borderId="10" xfId="0" applyNumberFormat="1" applyFont="1" applyBorder="1" applyAlignment="1">
      <alignment horizontal="center" vertical="center" wrapText="1"/>
    </xf>
    <xf numFmtId="0" fontId="46" fillId="0" borderId="10" xfId="0" applyFont="1" applyBorder="1" applyAlignment="1">
      <alignment horizontal="center"/>
    </xf>
    <xf numFmtId="0" fontId="28" fillId="0" borderId="10" xfId="0" applyFont="1" applyBorder="1"/>
    <xf numFmtId="49" fontId="59" fillId="0" borderId="0" xfId="0" applyNumberFormat="1" applyFont="1" applyAlignment="1">
      <alignment horizontal="center"/>
    </xf>
    <xf numFmtId="0" fontId="28" fillId="0" borderId="0" xfId="0" applyFont="1"/>
    <xf numFmtId="49" fontId="35" fillId="0" borderId="10" xfId="0" applyNumberFormat="1" applyFont="1" applyBorder="1" applyAlignment="1">
      <alignment horizontal="left" vertical="center" wrapText="1"/>
    </xf>
    <xf numFmtId="0" fontId="49" fillId="0" borderId="0" xfId="0" applyFont="1" applyAlignment="1">
      <alignment horizontal="center"/>
    </xf>
    <xf numFmtId="0" fontId="60" fillId="0" borderId="0" xfId="0" applyFont="1" applyAlignment="1">
      <alignment horizontal="center"/>
    </xf>
    <xf numFmtId="0" fontId="1" fillId="0" borderId="0" xfId="0" applyFont="1"/>
    <xf numFmtId="49" fontId="35" fillId="0" borderId="12" xfId="0" applyNumberFormat="1" applyFont="1" applyBorder="1" applyAlignment="1">
      <alignment horizontal="center" vertical="center" wrapText="1"/>
    </xf>
    <xf numFmtId="0" fontId="1" fillId="0" borderId="34" xfId="0" applyFont="1" applyBorder="1"/>
    <xf numFmtId="0" fontId="1" fillId="0" borderId="42" xfId="0" applyFont="1" applyBorder="1"/>
    <xf numFmtId="49" fontId="35" fillId="0" borderId="41" xfId="0" applyNumberFormat="1" applyFont="1" applyBorder="1" applyAlignment="1">
      <alignment horizontal="center" vertical="center" wrapText="1"/>
    </xf>
    <xf numFmtId="0" fontId="1" fillId="0" borderId="14" xfId="0" applyFont="1" applyBorder="1"/>
    <xf numFmtId="0" fontId="1" fillId="0" borderId="21" xfId="0" applyFont="1" applyBorder="1"/>
    <xf numFmtId="49" fontId="35" fillId="0" borderId="41" xfId="0" applyNumberFormat="1" applyFont="1" applyBorder="1" applyAlignment="1">
      <alignment horizontal="left" vertical="center" wrapText="1"/>
    </xf>
    <xf numFmtId="49" fontId="60" fillId="0" borderId="0" xfId="0" applyNumberFormat="1" applyFont="1" applyAlignment="1">
      <alignment horizontal="center" vertical="center"/>
    </xf>
    <xf numFmtId="49" fontId="35" fillId="0" borderId="0" xfId="0" applyNumberFormat="1" applyFont="1" applyAlignment="1">
      <alignment horizontal="center" vertical="center"/>
    </xf>
    <xf numFmtId="0" fontId="35" fillId="0" borderId="0" xfId="0" applyFont="1" applyAlignment="1">
      <alignment horizontal="center" vertical="center" wrapText="1"/>
    </xf>
    <xf numFmtId="0" fontId="60" fillId="0" borderId="0" xfId="0" applyFont="1" applyAlignment="1">
      <alignment horizontal="center" vertical="center"/>
    </xf>
    <xf numFmtId="49" fontId="27" fillId="0" borderId="0" xfId="0" applyNumberFormat="1" applyFont="1" applyAlignment="1">
      <alignment horizontal="center"/>
    </xf>
    <xf numFmtId="49" fontId="60" fillId="0" borderId="0" xfId="0" applyNumberFormat="1" applyFont="1" applyAlignment="1">
      <alignment horizontal="center"/>
    </xf>
    <xf numFmtId="49" fontId="35" fillId="0" borderId="32" xfId="0" applyNumberFormat="1" applyFont="1" applyBorder="1" applyAlignment="1">
      <alignment horizontal="center" vertical="center" wrapText="1"/>
    </xf>
    <xf numFmtId="0" fontId="1" fillId="0" borderId="24" xfId="0" applyFont="1" applyBorder="1"/>
    <xf numFmtId="0" fontId="1" fillId="0" borderId="43" xfId="0" applyFont="1" applyBorder="1"/>
    <xf numFmtId="0" fontId="1" fillId="0" borderId="39" xfId="0" applyFont="1" applyBorder="1"/>
    <xf numFmtId="0" fontId="1" fillId="0" borderId="22" xfId="0" applyFont="1" applyBorder="1"/>
    <xf numFmtId="0" fontId="1" fillId="0" borderId="45" xfId="0" applyFont="1" applyBorder="1"/>
    <xf numFmtId="49" fontId="25" fillId="0" borderId="0" xfId="0" applyNumberFormat="1" applyFont="1" applyAlignment="1">
      <alignment horizontal="center" vertical="center"/>
    </xf>
    <xf numFmtId="49" fontId="63" fillId="0" borderId="0" xfId="0" applyNumberFormat="1" applyFont="1" applyAlignment="1">
      <alignment horizontal="center" vertical="center"/>
    </xf>
    <xf numFmtId="49" fontId="59" fillId="0" borderId="0" xfId="0" applyNumberFormat="1" applyFont="1" applyAlignment="1">
      <alignment horizontal="center" vertical="center"/>
    </xf>
    <xf numFmtId="49" fontId="25" fillId="0" borderId="0" xfId="0" applyNumberFormat="1" applyFont="1" applyAlignment="1">
      <alignment horizontal="center"/>
    </xf>
    <xf numFmtId="49" fontId="35" fillId="0" borderId="0" xfId="0" applyNumberFormat="1" applyFont="1" applyAlignment="1">
      <alignment horizontal="center"/>
    </xf>
    <xf numFmtId="49" fontId="25" fillId="0" borderId="41" xfId="0" applyNumberFormat="1" applyFont="1" applyBorder="1" applyAlignment="1">
      <alignment horizontal="center" vertical="center" wrapText="1"/>
    </xf>
    <xf numFmtId="49" fontId="25" fillId="0" borderId="12" xfId="0" applyNumberFormat="1" applyFont="1" applyBorder="1" applyAlignment="1">
      <alignment horizontal="center" vertical="center" wrapText="1"/>
    </xf>
  </cellXfs>
  <cellStyles count="49">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xfId="28" builtinId="3"/>
    <cellStyle name="Explanatory Text 2" xfId="29" xr:uid="{00000000-0005-0000-0000-00001C000000}"/>
    <cellStyle name="Good 2" xfId="30" xr:uid="{00000000-0005-0000-0000-00001D000000}"/>
    <cellStyle name="Heading 1 2" xfId="31" xr:uid="{00000000-0005-0000-0000-00001E000000}"/>
    <cellStyle name="Heading 2 2" xfId="32" xr:uid="{00000000-0005-0000-0000-00001F000000}"/>
    <cellStyle name="Heading 3 2" xfId="33" xr:uid="{00000000-0005-0000-0000-000020000000}"/>
    <cellStyle name="Heading 4 2" xfId="34" xr:uid="{00000000-0005-0000-0000-000021000000}"/>
    <cellStyle name="Hyperlink" xfId="35" builtinId="8"/>
    <cellStyle name="Input 2" xfId="36" xr:uid="{00000000-0005-0000-0000-000023000000}"/>
    <cellStyle name="Linked Cell 2" xfId="37" xr:uid="{00000000-0005-0000-0000-000024000000}"/>
    <cellStyle name="Neutral 2" xfId="38" xr:uid="{00000000-0005-0000-0000-000025000000}"/>
    <cellStyle name="Normal" xfId="0" builtinId="0"/>
    <cellStyle name="Normal 2" xfId="39" xr:uid="{00000000-0005-0000-0000-000027000000}"/>
    <cellStyle name="Normal_DA Nguyen Du" xfId="48" xr:uid="{95272770-BA24-4A4A-8342-521197B765B8}"/>
    <cellStyle name="Normal_Sheet1" xfId="40" xr:uid="{00000000-0005-0000-0000-000028000000}"/>
    <cellStyle name="Normal_THKPHM" xfId="41" xr:uid="{00000000-0005-0000-0000-000029000000}"/>
    <cellStyle name="Note 2" xfId="42" xr:uid="{00000000-0005-0000-0000-00002A000000}"/>
    <cellStyle name="Output 2" xfId="43" xr:uid="{00000000-0005-0000-0000-00002B000000}"/>
    <cellStyle name="Percent" xfId="44" builtinId="5"/>
    <cellStyle name="Title 2" xfId="45" xr:uid="{00000000-0005-0000-0000-00002D000000}"/>
    <cellStyle name="Total 2" xfId="46" xr:uid="{00000000-0005-0000-0000-00002E000000}"/>
    <cellStyle name="Warning Text 2" xfId="47" xr:uid="{00000000-0005-0000-0000-00002F000000}"/>
  </cellStyles>
  <dxfs count="17">
    <dxf>
      <font>
        <color rgb="FFFFFFFF"/>
      </font>
    </dxf>
    <dxf>
      <font>
        <color rgb="FFFFFFFF"/>
      </font>
    </dxf>
    <dxf>
      <font>
        <color indexed="9"/>
      </font>
    </dxf>
    <dxf>
      <font>
        <color rgb="FFFFFFFF"/>
      </font>
    </dxf>
    <dxf>
      <font>
        <color rgb="FFFFFFFF"/>
      </font>
    </dxf>
    <dxf>
      <fill>
        <patternFill>
          <bgColor indexed="29"/>
        </patternFill>
      </fill>
    </dxf>
    <dxf>
      <font>
        <color rgb="FFFFFFFF"/>
      </font>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ont>
        <color rgb="FFFFFFFF"/>
      </font>
    </dxf>
    <dxf>
      <fill>
        <patternFill>
          <bgColor indexed="29"/>
        </patternFill>
      </fill>
    </dxf>
    <dxf>
      <fill>
        <patternFill>
          <bgColor indexed="29"/>
        </patternFill>
      </fill>
    </dxf>
    <dxf>
      <font>
        <color rgb="FFFFFFFF"/>
      </font>
    </dxf>
    <dxf>
      <font>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55"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3.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editAs="absolute">
    <xdr:from>
      <xdr:col>4</xdr:col>
      <xdr:colOff>623028</xdr:colOff>
      <xdr:row>5</xdr:row>
      <xdr:rowOff>104140</xdr:rowOff>
    </xdr:from>
    <xdr:to>
      <xdr:col>5</xdr:col>
      <xdr:colOff>938993</xdr:colOff>
      <xdr:row>9</xdr:row>
      <xdr:rowOff>101531</xdr:rowOff>
    </xdr:to>
    <xdr:sp macro="" textlink="">
      <xdr:nvSpPr>
        <xdr:cNvPr id="2" name="Comment 1" hidden="1">
          <a:extLst>
            <a:ext uri="{FF2B5EF4-FFF2-40B4-BE49-F238E27FC236}">
              <a16:creationId xmlns:a16="http://schemas.microsoft.com/office/drawing/2014/main" id="{00000000-0008-0000-0500-000002000000}"/>
            </a:ext>
          </a:extLst>
        </xdr:cNvPr>
        <xdr:cNvSpPr txBox="1"/>
      </xdr:nvSpPr>
      <xdr:spPr>
        <a:xfrm>
          <a:off x="5305262" y="1075690"/>
          <a:ext cx="1361050" cy="774631"/>
        </a:xfrm>
        <a:prstGeom prst="rect">
          <a:avLst/>
        </a:prstGeom>
        <a:solidFill>
          <a:srgbClr val="FFFFE1"/>
        </a:solidFill>
        <a:ln w="9525">
          <a:solidFill>
            <a:srgbClr val="FFFFFF"/>
          </a:solidFill>
        </a:ln>
      </xdr:spPr>
      <xdr:txBody>
        <a:bodyPr rtlCol="0"/>
        <a:lstStyle/>
        <a:p>
          <a:pPr algn="l"/>
          <a:r>
            <a:rPr lang="en-US" sz="900">
              <a:solidFill>
                <a:sysClr val="windowText" lastClr="000000"/>
              </a:solidFill>
            </a:rPr>
            <a:t>ETA:</a:t>
          </a:r>
          <a:endParaRPr lang="en-US" sz="900" b="0">
            <a:solidFill>
              <a:sysClr val="windowText" lastClr="000000"/>
            </a:solidFill>
          </a:endParaRPr>
        </a:p>
        <a:p>
          <a:pPr algn="l"/>
          <a:r>
            <a:rPr lang="en-US" sz="900" b="0">
              <a:solidFill>
                <a:sysClr val="windowText" lastClr="000000"/>
              </a:solidFill>
            </a:rPr>
            <a:t>Điều chỉnh giá nhân công</a:t>
          </a:r>
          <a:endParaRPr lang="en-US" sz="1100" b="0">
            <a:solidFill>
              <a:sysClr val="windowText" lastClr="000000"/>
            </a:solidFill>
            <a:latin typeface="Calibri"/>
          </a:endParaRPr>
        </a:p>
      </xdr:txBody>
    </xdr:sp>
    <xdr:clientData/>
  </xdr:twoCellAnchor>
  <xdr:twoCellAnchor editAs="absolute">
    <xdr:from>
      <xdr:col>4</xdr:col>
      <xdr:colOff>623028</xdr:colOff>
      <xdr:row>7</xdr:row>
      <xdr:rowOff>95250</xdr:rowOff>
    </xdr:from>
    <xdr:to>
      <xdr:col>5</xdr:col>
      <xdr:colOff>939457</xdr:colOff>
      <xdr:row>11</xdr:row>
      <xdr:rowOff>94635</xdr:rowOff>
    </xdr:to>
    <xdr:sp macro="" textlink="">
      <xdr:nvSpPr>
        <xdr:cNvPr id="3" name="Comment 2" hidden="1">
          <a:extLst>
            <a:ext uri="{FF2B5EF4-FFF2-40B4-BE49-F238E27FC236}">
              <a16:creationId xmlns:a16="http://schemas.microsoft.com/office/drawing/2014/main" id="{00000000-0008-0000-0500-000003000000}"/>
            </a:ext>
          </a:extLst>
        </xdr:cNvPr>
        <xdr:cNvSpPr txBox="1"/>
      </xdr:nvSpPr>
      <xdr:spPr>
        <a:xfrm>
          <a:off x="5305262" y="1455420"/>
          <a:ext cx="1361514" cy="789325"/>
        </a:xfrm>
        <a:prstGeom prst="rect">
          <a:avLst/>
        </a:prstGeom>
        <a:solidFill>
          <a:srgbClr val="FFFFE1"/>
        </a:solidFill>
        <a:ln w="9525">
          <a:solidFill>
            <a:srgbClr val="FFFFFF"/>
          </a:solidFill>
        </a:ln>
      </xdr:spPr>
      <xdr:txBody>
        <a:bodyPr rtlCol="0"/>
        <a:lstStyle/>
        <a:p>
          <a:pPr algn="l"/>
          <a:r>
            <a:rPr lang="en-US" sz="900">
              <a:solidFill>
                <a:sysClr val="windowText" lastClr="000000"/>
              </a:solidFill>
            </a:rPr>
            <a:t>ETA:</a:t>
          </a:r>
          <a:endParaRPr lang="en-US" sz="900" b="0">
            <a:solidFill>
              <a:sysClr val="windowText" lastClr="000000"/>
            </a:solidFill>
          </a:endParaRPr>
        </a:p>
        <a:p>
          <a:pPr algn="l"/>
          <a:r>
            <a:rPr lang="en-US" sz="900" b="0">
              <a:solidFill>
                <a:sysClr val="windowText" lastClr="000000"/>
              </a:solidFill>
            </a:rPr>
            <a:t>Điều chỉnh giá nhiên liệu</a:t>
          </a:r>
          <a:endParaRPr lang="en-US" sz="1100" b="0">
            <a:solidFill>
              <a:sysClr val="windowText" lastClr="000000"/>
            </a:solidFill>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1405489</xdr:colOff>
      <xdr:row>10</xdr:row>
      <xdr:rowOff>61595</xdr:rowOff>
    </xdr:from>
    <xdr:to>
      <xdr:col>3</xdr:col>
      <xdr:colOff>189961</xdr:colOff>
      <xdr:row>13</xdr:row>
      <xdr:rowOff>185390</xdr:rowOff>
    </xdr:to>
    <xdr:sp macro="" textlink="">
      <xdr:nvSpPr>
        <xdr:cNvPr id="2" name="Comment 1" hidden="1">
          <a:extLst>
            <a:ext uri="{FF2B5EF4-FFF2-40B4-BE49-F238E27FC236}">
              <a16:creationId xmlns:a16="http://schemas.microsoft.com/office/drawing/2014/main" id="{00000000-0008-0000-2800-000002000000}"/>
            </a:ext>
          </a:extLst>
        </xdr:cNvPr>
        <xdr:cNvSpPr txBox="1"/>
      </xdr:nvSpPr>
      <xdr:spPr>
        <a:xfrm>
          <a:off x="2709781" y="2404745"/>
          <a:ext cx="1085426"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2</xdr:col>
      <xdr:colOff>2054359</xdr:colOff>
      <xdr:row>10</xdr:row>
      <xdr:rowOff>61595</xdr:rowOff>
    </xdr:from>
    <xdr:to>
      <xdr:col>4</xdr:col>
      <xdr:colOff>77431</xdr:colOff>
      <xdr:row>13</xdr:row>
      <xdr:rowOff>185390</xdr:rowOff>
    </xdr:to>
    <xdr:sp macro="" textlink="">
      <xdr:nvSpPr>
        <xdr:cNvPr id="3" name="Comment 2" hidden="1">
          <a:extLst>
            <a:ext uri="{FF2B5EF4-FFF2-40B4-BE49-F238E27FC236}">
              <a16:creationId xmlns:a16="http://schemas.microsoft.com/office/drawing/2014/main" id="{00000000-0008-0000-2800-000003000000}"/>
            </a:ext>
          </a:extLst>
        </xdr:cNvPr>
        <xdr:cNvSpPr txBox="1"/>
      </xdr:nvSpPr>
      <xdr:spPr>
        <a:xfrm>
          <a:off x="3358651" y="2404745"/>
          <a:ext cx="1028725"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3</xdr:col>
      <xdr:colOff>402275</xdr:colOff>
      <xdr:row>10</xdr:row>
      <xdr:rowOff>61595</xdr:rowOff>
    </xdr:from>
    <xdr:to>
      <xdr:col>4</xdr:col>
      <xdr:colOff>791102</xdr:colOff>
      <xdr:row>13</xdr:row>
      <xdr:rowOff>185390</xdr:rowOff>
    </xdr:to>
    <xdr:sp macro="" textlink="">
      <xdr:nvSpPr>
        <xdr:cNvPr id="4" name="Comment 3" hidden="1">
          <a:extLst>
            <a:ext uri="{FF2B5EF4-FFF2-40B4-BE49-F238E27FC236}">
              <a16:creationId xmlns:a16="http://schemas.microsoft.com/office/drawing/2014/main" id="{00000000-0008-0000-2800-000004000000}"/>
            </a:ext>
          </a:extLst>
        </xdr:cNvPr>
        <xdr:cNvSpPr txBox="1"/>
      </xdr:nvSpPr>
      <xdr:spPr>
        <a:xfrm>
          <a:off x="4007521" y="2404745"/>
          <a:ext cx="1093526"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4</xdr:col>
      <xdr:colOff>346446</xdr:colOff>
      <xdr:row>10</xdr:row>
      <xdr:rowOff>61595</xdr:rowOff>
    </xdr:from>
    <xdr:to>
      <xdr:col>5</xdr:col>
      <xdr:colOff>411380</xdr:colOff>
      <xdr:row>13</xdr:row>
      <xdr:rowOff>185390</xdr:rowOff>
    </xdr:to>
    <xdr:sp macro="" textlink="">
      <xdr:nvSpPr>
        <xdr:cNvPr id="5" name="Comment 4" hidden="1">
          <a:extLst>
            <a:ext uri="{FF2B5EF4-FFF2-40B4-BE49-F238E27FC236}">
              <a16:creationId xmlns:a16="http://schemas.microsoft.com/office/drawing/2014/main" id="{00000000-0008-0000-2800-000005000000}"/>
            </a:ext>
          </a:extLst>
        </xdr:cNvPr>
        <xdr:cNvSpPr txBox="1"/>
      </xdr:nvSpPr>
      <xdr:spPr>
        <a:xfrm>
          <a:off x="4656392" y="2404745"/>
          <a:ext cx="1102044"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4</xdr:col>
      <xdr:colOff>995316</xdr:colOff>
      <xdr:row>10</xdr:row>
      <xdr:rowOff>61595</xdr:rowOff>
    </xdr:from>
    <xdr:to>
      <xdr:col>6</xdr:col>
      <xdr:colOff>38881</xdr:colOff>
      <xdr:row>13</xdr:row>
      <xdr:rowOff>185390</xdr:rowOff>
    </xdr:to>
    <xdr:sp macro="" textlink="">
      <xdr:nvSpPr>
        <xdr:cNvPr id="6" name="Comment 5" hidden="1">
          <a:extLst>
            <a:ext uri="{FF2B5EF4-FFF2-40B4-BE49-F238E27FC236}">
              <a16:creationId xmlns:a16="http://schemas.microsoft.com/office/drawing/2014/main" id="{00000000-0008-0000-2800-000006000000}"/>
            </a:ext>
          </a:extLst>
        </xdr:cNvPr>
        <xdr:cNvSpPr txBox="1"/>
      </xdr:nvSpPr>
      <xdr:spPr>
        <a:xfrm>
          <a:off x="5305262" y="2404745"/>
          <a:ext cx="1117784"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5</xdr:col>
      <xdr:colOff>607077</xdr:colOff>
      <xdr:row>10</xdr:row>
      <xdr:rowOff>61595</xdr:rowOff>
    </xdr:from>
    <xdr:to>
      <xdr:col>6</xdr:col>
      <xdr:colOff>678828</xdr:colOff>
      <xdr:row>13</xdr:row>
      <xdr:rowOff>185390</xdr:rowOff>
    </xdr:to>
    <xdr:sp macro="" textlink="">
      <xdr:nvSpPr>
        <xdr:cNvPr id="7" name="Comment 6" hidden="1">
          <a:extLst>
            <a:ext uri="{FF2B5EF4-FFF2-40B4-BE49-F238E27FC236}">
              <a16:creationId xmlns:a16="http://schemas.microsoft.com/office/drawing/2014/main" id="{00000000-0008-0000-2800-000007000000}"/>
            </a:ext>
          </a:extLst>
        </xdr:cNvPr>
        <xdr:cNvSpPr txBox="1"/>
      </xdr:nvSpPr>
      <xdr:spPr>
        <a:xfrm>
          <a:off x="5954132" y="2404745"/>
          <a:ext cx="1108861"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6</xdr:col>
      <xdr:colOff>218837</xdr:colOff>
      <xdr:row>10</xdr:row>
      <xdr:rowOff>61595</xdr:rowOff>
    </xdr:from>
    <xdr:to>
      <xdr:col>7</xdr:col>
      <xdr:colOff>267121</xdr:colOff>
      <xdr:row>13</xdr:row>
      <xdr:rowOff>185390</xdr:rowOff>
    </xdr:to>
    <xdr:sp macro="" textlink="">
      <xdr:nvSpPr>
        <xdr:cNvPr id="8" name="Comment 7" hidden="1">
          <a:extLst>
            <a:ext uri="{FF2B5EF4-FFF2-40B4-BE49-F238E27FC236}">
              <a16:creationId xmlns:a16="http://schemas.microsoft.com/office/drawing/2014/main" id="{00000000-0008-0000-2800-000008000000}"/>
            </a:ext>
          </a:extLst>
        </xdr:cNvPr>
        <xdr:cNvSpPr txBox="1"/>
      </xdr:nvSpPr>
      <xdr:spPr>
        <a:xfrm>
          <a:off x="6603002" y="2404745"/>
          <a:ext cx="1085394"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7</xdr:col>
      <xdr:colOff>479468</xdr:colOff>
      <xdr:row>10</xdr:row>
      <xdr:rowOff>61595</xdr:rowOff>
    </xdr:from>
    <xdr:to>
      <xdr:col>8</xdr:col>
      <xdr:colOff>358235</xdr:colOff>
      <xdr:row>13</xdr:row>
      <xdr:rowOff>185390</xdr:rowOff>
    </xdr:to>
    <xdr:sp macro="" textlink="">
      <xdr:nvSpPr>
        <xdr:cNvPr id="9" name="Comment 8" hidden="1">
          <a:extLst>
            <a:ext uri="{FF2B5EF4-FFF2-40B4-BE49-F238E27FC236}">
              <a16:creationId xmlns:a16="http://schemas.microsoft.com/office/drawing/2014/main" id="{00000000-0008-0000-2800-000009000000}"/>
            </a:ext>
          </a:extLst>
        </xdr:cNvPr>
        <xdr:cNvSpPr txBox="1"/>
      </xdr:nvSpPr>
      <xdr:spPr>
        <a:xfrm>
          <a:off x="7900743" y="2404745"/>
          <a:ext cx="1077668" cy="790545"/>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6</xdr:col>
      <xdr:colOff>867707</xdr:colOff>
      <xdr:row>11</xdr:row>
      <xdr:rowOff>22860</xdr:rowOff>
    </xdr:from>
    <xdr:to>
      <xdr:col>7</xdr:col>
      <xdr:colOff>908244</xdr:colOff>
      <xdr:row>14</xdr:row>
      <xdr:rowOff>129139</xdr:rowOff>
    </xdr:to>
    <xdr:sp macro="" textlink="">
      <xdr:nvSpPr>
        <xdr:cNvPr id="10" name="Comment 9" hidden="1">
          <a:extLst>
            <a:ext uri="{FF2B5EF4-FFF2-40B4-BE49-F238E27FC236}">
              <a16:creationId xmlns:a16="http://schemas.microsoft.com/office/drawing/2014/main" id="{00000000-0008-0000-2800-00000A000000}"/>
            </a:ext>
          </a:extLst>
        </xdr:cNvPr>
        <xdr:cNvSpPr txBox="1"/>
      </xdr:nvSpPr>
      <xdr:spPr>
        <a:xfrm>
          <a:off x="7251872" y="2594610"/>
          <a:ext cx="1077647" cy="782554"/>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twoCellAnchor editAs="absolute">
    <xdr:from>
      <xdr:col>7</xdr:col>
      <xdr:colOff>479468</xdr:colOff>
      <xdr:row>11</xdr:row>
      <xdr:rowOff>22860</xdr:rowOff>
    </xdr:from>
    <xdr:to>
      <xdr:col>8</xdr:col>
      <xdr:colOff>397915</xdr:colOff>
      <xdr:row>14</xdr:row>
      <xdr:rowOff>129139</xdr:rowOff>
    </xdr:to>
    <xdr:sp macro="" textlink="">
      <xdr:nvSpPr>
        <xdr:cNvPr id="11" name="Comment 10" hidden="1">
          <a:extLst>
            <a:ext uri="{FF2B5EF4-FFF2-40B4-BE49-F238E27FC236}">
              <a16:creationId xmlns:a16="http://schemas.microsoft.com/office/drawing/2014/main" id="{00000000-0008-0000-2800-00000B000000}"/>
            </a:ext>
          </a:extLst>
        </xdr:cNvPr>
        <xdr:cNvSpPr txBox="1"/>
      </xdr:nvSpPr>
      <xdr:spPr>
        <a:xfrm>
          <a:off x="7900743" y="2594610"/>
          <a:ext cx="1117348" cy="782554"/>
        </a:xfrm>
        <a:prstGeom prst="rect">
          <a:avLst/>
        </a:prstGeom>
        <a:solidFill>
          <a:srgbClr val="FFFFE1"/>
        </a:solidFill>
        <a:ln w="9525">
          <a:solidFill>
            <a:srgbClr val="000000"/>
          </a:solidFill>
        </a:ln>
      </xdr:spPr>
      <xdr:txBody>
        <a:bodyPr rtlCol="0"/>
        <a:lstStyle/>
        <a:p>
          <a:pPr algn="l"/>
          <a:r>
            <a:rPr lang="en-US">
              <a:solidFill>
                <a:sysClr val="windowText" lastClr="000000"/>
              </a:solidFill>
            </a:rPr>
            <a:t>Cột này không có trong mẫu, quý vị nên ẩn đi khi in ấn</a:t>
          </a:r>
          <a:endParaRPr lang="en-US" sz="1100" b="0">
            <a:solidFill>
              <a:sysClr val="windowText" lastClr="000000"/>
            </a:solidFill>
            <a:latin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C&#212;NG%20TR&#204;NH%202025\2.%20H&#7896;%20KINH%20DOANH\1.%20X&#195;%20H&#7918;U%20LI&#202;N\6.%20&#272;&#431;&#7900;NG%20L&#192;NG%20B&#202;N%20-%20L&#192;NG%20QUE\D&#7920;%20TO&#193;N%20&#272;&#431;&#7900;NG%20L&#192;NG%20B&#202;N%20-%20L&#192;NG%20QUE.xlsx" TargetMode="External"/><Relationship Id="rId1" Type="http://schemas.openxmlformats.org/officeDocument/2006/relationships/externalLinkPath" Target="file:///D:\C&#212;NG%20TR&#204;NH%202025\2.%20H&#7896;%20KINH%20DOANH\1.%20X&#195;%20H&#7918;U%20LI&#202;N\6.%20&#272;&#431;&#7900;NG%20L&#192;NG%20B&#202;N%20-%20L&#192;NG%20QUE\D&#7920;%20TO&#193;N%20&#272;&#431;&#7900;NG%20L&#192;NG%20B&#202;N%20-%20L&#192;NG%20QU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ONG%20VIEC\C&#212;NG%20VI&#202;&#803;C\C&#212;NG%20TY%20NH&#7852;T%20NH&#7852;T\THIET%20KE\N&#258;M%202020\HUY&#7878;N%20H&#7918;U%20L&#360;NG\C&#7842;I%20T&#7840;O,%20S&#7916;A%20CH&#7918;A%20TR&#7840;M%20Y%20T&#7870;%20X&#195;%20MINH%20TI&#7870;N\D&#7920;%20TO&#193;N\KT\KH&#193;I%20TO&#193;N%20M&#7898;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ocVanChuyen"/>
      <sheetName val="CauHinh"/>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iên lượng"/>
      <sheetName val="Giá VL"/>
      <sheetName val="THVL"/>
      <sheetName val="Cước ô tô"/>
      <sheetName val="Cước ô tô mới"/>
      <sheetName val="CauHinh_0"/>
      <sheetName val="Cước sông"/>
      <sheetName val="Cước TC"/>
      <sheetName val="Giá NC"/>
      <sheetName val="THNC"/>
      <sheetName val="Tính giá NC"/>
      <sheetName val="Giá Máy"/>
      <sheetName val="THM"/>
      <sheetName val="Bù giá CM"/>
      <sheetName val="Tính giá CM"/>
      <sheetName val="THNL"/>
      <sheetName val="THTL"/>
      <sheetName val="THKPHM"/>
      <sheetName val="THKP_TT16"/>
      <sheetName val="Chiết tính"/>
      <sheetName val="ĐGTH"/>
      <sheetName val="TỔNG DỰ TOÁN"/>
      <sheetName val="Tổng hợp VT"/>
      <sheetName val="Tổng hợp VT công trình"/>
      <sheetName val="GGTXD"/>
      <sheetName val="PTVT"/>
      <sheetName val="THDGDT"/>
      <sheetName val="THCPXD"/>
      <sheetName val="THCPTB"/>
      <sheetName val="HM chung"/>
      <sheetName val="Bìa ngoài"/>
      <sheetName val="Bìa trong"/>
      <sheetName val="Thuyết minh"/>
      <sheetName val="Thông tin"/>
      <sheetName val="Nội suy"/>
      <sheetName val="Hệ số"/>
      <sheetName val="Chiết tính rút gọn"/>
      <sheetName val="ĐGTH rút gọn"/>
      <sheetName val="Giá vữa"/>
      <sheetName val="Trượt giá"/>
      <sheetName val="Tra định mức"/>
      <sheetName val="QT_03a_ND254"/>
      <sheetName val="QT_PL08b"/>
      <sheetName val="QT_PL03a"/>
      <sheetName val="QT_PL03b"/>
      <sheetName val="QT_PL04"/>
      <sheetName val="QT_PL05"/>
      <sheetName val="QT_PL0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A2" t="str">
            <v>CÔNG TRÌNH: ĐƯỜNG BÊ TÔNG TUYẾN ĐƯỜNG LÀNG BÊN - LÀNG QUE, XÃ HỮU LIÊN, TỈNH LẠNG SƠN</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ên lượng"/>
      <sheetName val="Giá VL"/>
      <sheetName val="THVL"/>
      <sheetName val="Cước ô tô"/>
      <sheetName val="Cước sông"/>
      <sheetName val="Cước TC"/>
      <sheetName val="Giá NC"/>
      <sheetName val="THNC"/>
      <sheetName val="Tính giá NC"/>
      <sheetName val="Giá Máy"/>
      <sheetName val="THM"/>
      <sheetName val="Bù giá CM"/>
      <sheetName val="Tính giá CM"/>
      <sheetName val="THNL"/>
      <sheetName val="THTL"/>
      <sheetName val="kt mới"/>
      <sheetName val="XD+TB"/>
      <sheetName val="Chiết tính"/>
      <sheetName val="ĐGTH"/>
      <sheetName val="PTVT"/>
      <sheetName val="THDGDT"/>
      <sheetName val="TMĐT"/>
      <sheetName val="HMC"/>
      <sheetName val="KS"/>
      <sheetName val="KS1"/>
      <sheetName val="THCPTB"/>
      <sheetName val="THKP"/>
      <sheetName val="Nội suy"/>
      <sheetName val="QT_PL03a"/>
      <sheetName val="QT_PL03b"/>
      <sheetName val="QT_PL04"/>
      <sheetName val="QT_PL05"/>
      <sheetName val="QT_PL06"/>
      <sheetName val="Bìa ngoài"/>
      <sheetName val="Bìa trong"/>
      <sheetName val="Thuyết minh"/>
      <sheetName val="Thông t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1">
          <cell r="H31">
            <v>609500000</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2" Type="http://schemas.openxmlformats.org/officeDocument/2006/relationships/hyperlink" Target="https://dutoaneta.vn/huong-dan-xu-ly-loi-name-khi-xuat-excel/" TargetMode="External"/><Relationship Id="rId1" Type="http://schemas.openxmlformats.org/officeDocument/2006/relationships/hyperlink" Target="https://dutoaneta.vn/huong-dan-xu-ly-loi-name-khi-xuat-exce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hyperlink" Target="http://dutoaneta.vn/" TargetMode="External"/></Relationships>
</file>

<file path=xl/worksheets/_rels/sheet32.xml.rels><?xml version="1.0" encoding="UTF-8" standalone="yes"?>
<Relationships xmlns="http://schemas.openxmlformats.org/package/2006/relationships"><Relationship Id="rId1" Type="http://schemas.openxmlformats.org/officeDocument/2006/relationships/hyperlink" Target="http://dutoaneta.vn/"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50"/>
  <sheetViews>
    <sheetView showZeros="0" topLeftCell="B1" workbookViewId="0">
      <selection activeCell="D16" sqref="D16"/>
    </sheetView>
  </sheetViews>
  <sheetFormatPr defaultColWidth="9.140625" defaultRowHeight="15" x14ac:dyDescent="0.25"/>
  <cols>
    <col min="1" max="1" width="5.7109375" style="794" customWidth="1"/>
    <col min="2" max="2" width="4.7109375" style="794" bestFit="1" customWidth="1"/>
    <col min="3" max="3" width="12.85546875" style="794" bestFit="1" customWidth="1"/>
    <col min="4" max="4" width="28.42578125" style="794" customWidth="1"/>
    <col min="5" max="5" width="9.42578125" style="794" customWidth="1"/>
    <col min="6" max="6" width="8.5703125" style="794" hidden="1" customWidth="1"/>
    <col min="7" max="7" width="7.140625" style="794" hidden="1" customWidth="1"/>
    <col min="8" max="8" width="4.140625" style="794" hidden="1" customWidth="1"/>
    <col min="9" max="9" width="6" style="794" hidden="1" customWidth="1"/>
    <col min="10" max="10" width="4.7109375" style="794" hidden="1" customWidth="1"/>
    <col min="11" max="11" width="7.85546875" style="794" hidden="1" customWidth="1"/>
    <col min="12" max="12" width="8.140625" style="794" hidden="1" customWidth="1"/>
    <col min="13" max="13" width="13.5703125" style="794" customWidth="1"/>
    <col min="14" max="14" width="14.28515625" style="794" customWidth="1"/>
    <col min="15" max="15" width="12.140625" style="794" hidden="1" customWidth="1"/>
    <col min="16" max="16" width="12" style="794" customWidth="1"/>
    <col min="17" max="17" width="14.28515625" style="794" customWidth="1"/>
    <col min="18" max="18" width="13.28515625" style="794" customWidth="1"/>
    <col min="19" max="19" width="12.140625" style="794" hidden="1" customWidth="1"/>
    <col min="20" max="20" width="13.28515625" style="794" customWidth="1"/>
    <col min="21" max="21" width="12.28515625" style="794" customWidth="1"/>
    <col min="22" max="22" width="9" style="794" hidden="1" customWidth="1"/>
    <col min="23" max="24" width="9.42578125" style="794" hidden="1" customWidth="1"/>
    <col min="25" max="16384" width="9.140625" style="794"/>
  </cols>
  <sheetData>
    <row r="1" spans="1:28" ht="18.75" x14ac:dyDescent="0.3">
      <c r="B1" s="1081" t="s">
        <v>113</v>
      </c>
      <c r="C1" s="1081"/>
      <c r="D1" s="1081"/>
      <c r="E1" s="1081"/>
      <c r="F1" s="1081"/>
      <c r="G1" s="1081"/>
      <c r="H1" s="1081"/>
      <c r="I1" s="1081"/>
      <c r="J1" s="1081"/>
      <c r="K1" s="1081"/>
      <c r="L1" s="1081"/>
      <c r="M1" s="1081"/>
      <c r="N1" s="1081"/>
      <c r="O1" s="1081"/>
      <c r="P1" s="1081"/>
      <c r="Q1" s="1081"/>
      <c r="R1" s="1081"/>
      <c r="S1" s="1081"/>
      <c r="T1" s="1081"/>
      <c r="U1" s="1081"/>
      <c r="V1" s="1081"/>
      <c r="W1" s="1081"/>
      <c r="X1" s="1081"/>
    </row>
    <row r="2" spans="1:28" ht="13.9" x14ac:dyDescent="0.25">
      <c r="B2" s="1082" t="str">
        <f>"CÔNG TRÌNH: "  &amp; 'Thông tin'!E5</f>
        <v>CÔNG TRÌNH: ĐƯỜNG BÊ TÔNG TUYẾN ĐƯỜNG LÀNG BÊN - LÀNG QUE, XÃ HỮU LIÊN, TỈNH LẠNG SƠN</v>
      </c>
      <c r="C2" s="1082"/>
      <c r="D2" s="1082"/>
      <c r="E2" s="1082"/>
      <c r="F2" s="1082"/>
      <c r="G2" s="1082"/>
      <c r="H2" s="1082"/>
      <c r="I2" s="1082"/>
      <c r="J2" s="1082"/>
      <c r="K2" s="1082"/>
      <c r="L2" s="1082"/>
      <c r="M2" s="1082"/>
      <c r="N2" s="1082"/>
      <c r="O2" s="1082"/>
      <c r="P2" s="1082"/>
      <c r="Q2" s="1082"/>
      <c r="R2" s="1082"/>
      <c r="S2" s="1082"/>
      <c r="T2" s="1082"/>
      <c r="U2" s="1082"/>
      <c r="V2" s="1082"/>
      <c r="W2" s="1082"/>
      <c r="X2" s="1082"/>
    </row>
    <row r="3" spans="1:28" ht="13.9" x14ac:dyDescent="0.25">
      <c r="B3" s="586"/>
      <c r="C3" s="586"/>
      <c r="D3" s="586"/>
      <c r="E3" s="586"/>
      <c r="F3" s="586"/>
      <c r="G3" s="586"/>
      <c r="H3" s="586"/>
      <c r="I3" s="586"/>
      <c r="J3" s="586"/>
      <c r="K3" s="586"/>
      <c r="L3" s="586"/>
      <c r="M3" s="586"/>
      <c r="N3" s="586"/>
      <c r="O3" s="586"/>
      <c r="P3" s="586"/>
      <c r="Q3" s="586"/>
      <c r="R3" s="586"/>
      <c r="S3" s="586"/>
      <c r="T3" s="586"/>
      <c r="U3" s="586"/>
      <c r="V3" s="586"/>
      <c r="W3" s="586"/>
      <c r="X3" s="586"/>
    </row>
    <row r="4" spans="1:28" s="665" customFormat="1" ht="14.25" x14ac:dyDescent="0.25">
      <c r="A4" s="1083"/>
      <c r="B4" s="1084" t="s">
        <v>1323</v>
      </c>
      <c r="C4" s="1084" t="s">
        <v>873</v>
      </c>
      <c r="D4" s="1084" t="s">
        <v>1462</v>
      </c>
      <c r="E4" s="1084" t="s">
        <v>1301</v>
      </c>
      <c r="F4" s="1084" t="s">
        <v>1011</v>
      </c>
      <c r="G4" s="1084"/>
      <c r="H4" s="1084"/>
      <c r="I4" s="1084"/>
      <c r="J4" s="1084"/>
      <c r="K4" s="1084"/>
      <c r="L4" s="1085" t="s">
        <v>651</v>
      </c>
      <c r="M4" s="1085" t="s">
        <v>207</v>
      </c>
      <c r="N4" s="1084" t="s">
        <v>979</v>
      </c>
      <c r="O4" s="1084"/>
      <c r="P4" s="1084"/>
      <c r="Q4" s="1084"/>
      <c r="R4" s="1084" t="s">
        <v>898</v>
      </c>
      <c r="S4" s="1084"/>
      <c r="T4" s="1084"/>
      <c r="U4" s="1084"/>
      <c r="V4" s="1084" t="s">
        <v>1415</v>
      </c>
      <c r="W4" s="1084"/>
      <c r="X4" s="1084"/>
      <c r="Y4" s="746"/>
      <c r="Z4" s="746"/>
      <c r="AA4" s="746"/>
    </row>
    <row r="5" spans="1:28" s="665" customFormat="1" ht="14.25" x14ac:dyDescent="0.25">
      <c r="A5" s="1083"/>
      <c r="B5" s="1084"/>
      <c r="C5" s="1084"/>
      <c r="D5" s="1084"/>
      <c r="E5" s="1084"/>
      <c r="F5" s="288" t="s">
        <v>1373</v>
      </c>
      <c r="G5" s="288" t="s">
        <v>112</v>
      </c>
      <c r="H5" s="288" t="s">
        <v>158</v>
      </c>
      <c r="I5" s="288" t="s">
        <v>1067</v>
      </c>
      <c r="J5" s="288" t="s">
        <v>386</v>
      </c>
      <c r="K5" s="288" t="s">
        <v>767</v>
      </c>
      <c r="L5" s="1086"/>
      <c r="M5" s="1086"/>
      <c r="N5" s="288" t="s">
        <v>1372</v>
      </c>
      <c r="O5" s="288" t="s">
        <v>807</v>
      </c>
      <c r="P5" s="288" t="s">
        <v>890</v>
      </c>
      <c r="Q5" s="288" t="s">
        <v>213</v>
      </c>
      <c r="R5" s="288" t="s">
        <v>1372</v>
      </c>
      <c r="S5" s="288" t="s">
        <v>807</v>
      </c>
      <c r="T5" s="288" t="s">
        <v>890</v>
      </c>
      <c r="U5" s="288" t="s">
        <v>213</v>
      </c>
      <c r="V5" s="288" t="s">
        <v>479</v>
      </c>
      <c r="W5" s="288" t="s">
        <v>125</v>
      </c>
      <c r="X5" s="288" t="s">
        <v>539</v>
      </c>
      <c r="Y5" s="746"/>
      <c r="Z5" s="746"/>
      <c r="AA5" s="746"/>
    </row>
    <row r="6" spans="1:28" x14ac:dyDescent="0.25">
      <c r="A6" s="755"/>
      <c r="B6" s="587"/>
      <c r="C6" s="587" t="s">
        <v>242</v>
      </c>
      <c r="D6" s="1087" t="s">
        <v>1282</v>
      </c>
      <c r="E6" s="1087"/>
      <c r="F6" s="1087"/>
      <c r="G6" s="1087"/>
      <c r="H6" s="1087"/>
      <c r="I6" s="1087"/>
      <c r="J6" s="1087"/>
      <c r="K6" s="1087"/>
      <c r="L6" s="1087"/>
      <c r="M6" s="1087"/>
      <c r="N6" s="1087"/>
      <c r="O6" s="1087"/>
      <c r="P6" s="1087"/>
      <c r="Q6" s="1087"/>
      <c r="R6" s="587"/>
      <c r="S6" s="587"/>
      <c r="T6" s="587"/>
      <c r="U6" s="587"/>
      <c r="V6" s="587"/>
      <c r="W6" s="587"/>
      <c r="X6" s="587"/>
      <c r="Y6" s="409"/>
      <c r="Z6" s="409"/>
      <c r="AA6" s="409"/>
    </row>
    <row r="7" spans="1:28" x14ac:dyDescent="0.25">
      <c r="A7" s="252"/>
      <c r="B7" s="551"/>
      <c r="C7" s="482"/>
      <c r="D7" s="1088" t="s">
        <v>1249</v>
      </c>
      <c r="E7" s="1089"/>
      <c r="F7" s="1088"/>
      <c r="G7" s="1090"/>
      <c r="H7" s="1090"/>
      <c r="I7" s="1090"/>
      <c r="J7" s="1090"/>
      <c r="K7" s="1090"/>
      <c r="L7" s="1091"/>
      <c r="M7" s="1091"/>
      <c r="N7" s="1092"/>
      <c r="O7" s="1092"/>
      <c r="P7" s="1092"/>
      <c r="Q7" s="1092"/>
      <c r="R7" s="779">
        <f>SUMIF(B8:B25,"&gt;0",R8:R25)</f>
        <v>27570375</v>
      </c>
      <c r="S7" s="779">
        <f>SUMIF(B8:B25,"&gt;0",S8:S25)</f>
        <v>0</v>
      </c>
      <c r="T7" s="779">
        <f>SUMIF(B8:B25,"&gt;0",T8:T25)</f>
        <v>11420704.303424001</v>
      </c>
      <c r="U7" s="779">
        <f>SUMIF(B8:B25,"&gt;0",U8:U25)</f>
        <v>38258318.726634406</v>
      </c>
      <c r="V7" s="482"/>
      <c r="W7" s="482"/>
      <c r="X7" s="482"/>
      <c r="Y7" s="409"/>
      <c r="Z7" s="409"/>
      <c r="AA7" s="409"/>
    </row>
    <row r="8" spans="1:28" ht="45" x14ac:dyDescent="0.25">
      <c r="A8" s="813"/>
      <c r="B8" s="870">
        <v>1</v>
      </c>
      <c r="C8" s="813" t="s">
        <v>1388</v>
      </c>
      <c r="D8" s="414" t="s">
        <v>1383</v>
      </c>
      <c r="E8" s="870" t="s">
        <v>144</v>
      </c>
      <c r="F8" s="813"/>
      <c r="G8" s="441">
        <v>0</v>
      </c>
      <c r="H8" s="441">
        <v>0</v>
      </c>
      <c r="I8" s="441">
        <v>0</v>
      </c>
      <c r="J8" s="441">
        <v>0</v>
      </c>
      <c r="K8" s="441">
        <v>0</v>
      </c>
      <c r="L8" s="671">
        <f>0</f>
        <v>0</v>
      </c>
      <c r="M8" s="671">
        <f>SUM(L9:L9)</f>
        <v>40.799999999999997</v>
      </c>
      <c r="N8" s="214">
        <f>0*V8</f>
        <v>0</v>
      </c>
      <c r="O8" s="214">
        <f>0*V8</f>
        <v>0</v>
      </c>
      <c r="P8" s="214">
        <f>132598.44*W8</f>
        <v>132598.44</v>
      </c>
      <c r="Q8" s="214">
        <f>171274.46*X8</f>
        <v>171274.46</v>
      </c>
      <c r="R8" s="214">
        <f>M8*N8</f>
        <v>0</v>
      </c>
      <c r="S8" s="214">
        <f>M8*O8</f>
        <v>0</v>
      </c>
      <c r="T8" s="214">
        <f>M8*P8</f>
        <v>5410016.352</v>
      </c>
      <c r="U8" s="214">
        <f>M8*Q8</f>
        <v>6987997.9679999994</v>
      </c>
      <c r="V8" s="813">
        <v>1</v>
      </c>
      <c r="W8" s="813">
        <v>1</v>
      </c>
      <c r="X8" s="813">
        <v>1</v>
      </c>
      <c r="Y8" s="409"/>
      <c r="Z8" s="409"/>
      <c r="AA8" s="409"/>
      <c r="AB8" s="896" t="s">
        <v>813</v>
      </c>
    </row>
    <row r="9" spans="1:28" x14ac:dyDescent="0.25">
      <c r="A9" s="129"/>
      <c r="B9" s="198"/>
      <c r="C9" s="129"/>
      <c r="D9" s="644" t="s">
        <v>1274</v>
      </c>
      <c r="E9" s="198"/>
      <c r="F9" s="129"/>
      <c r="G9" s="671">
        <v>0</v>
      </c>
      <c r="H9" s="671">
        <v>0</v>
      </c>
      <c r="I9" s="671">
        <v>0</v>
      </c>
      <c r="J9" s="671">
        <v>0</v>
      </c>
      <c r="K9" s="671">
        <v>0</v>
      </c>
      <c r="L9" s="671">
        <f>85*0.16*3</f>
        <v>40.799999999999997</v>
      </c>
      <c r="M9" s="671"/>
      <c r="N9" s="430"/>
      <c r="O9" s="430"/>
      <c r="P9" s="430"/>
      <c r="Q9" s="430"/>
      <c r="R9" s="430"/>
      <c r="S9" s="430"/>
      <c r="T9" s="430"/>
      <c r="U9" s="430"/>
      <c r="V9" s="129">
        <v>1</v>
      </c>
      <c r="W9" s="129">
        <v>1</v>
      </c>
      <c r="X9" s="129">
        <v>1</v>
      </c>
      <c r="Y9" s="409"/>
      <c r="Z9" s="409"/>
      <c r="AA9" s="409"/>
    </row>
    <row r="10" spans="1:28" ht="45" x14ac:dyDescent="0.25">
      <c r="A10" s="813"/>
      <c r="B10" s="870">
        <v>2</v>
      </c>
      <c r="C10" s="813" t="s">
        <v>101</v>
      </c>
      <c r="D10" s="414" t="s">
        <v>1173</v>
      </c>
      <c r="E10" s="870" t="s">
        <v>982</v>
      </c>
      <c r="F10" s="813"/>
      <c r="G10" s="441">
        <v>0</v>
      </c>
      <c r="H10" s="441">
        <v>0</v>
      </c>
      <c r="I10" s="441">
        <v>0</v>
      </c>
      <c r="J10" s="441">
        <v>0</v>
      </c>
      <c r="K10" s="441">
        <v>0</v>
      </c>
      <c r="L10" s="671">
        <f>0</f>
        <v>0</v>
      </c>
      <c r="M10" s="671">
        <f>SUM(L11:L11)</f>
        <v>0.53039999999999998</v>
      </c>
      <c r="N10" s="214">
        <f>0*V10</f>
        <v>0</v>
      </c>
      <c r="O10" s="214">
        <f>0*V10</f>
        <v>0</v>
      </c>
      <c r="P10" s="214">
        <f>153174.06*W10</f>
        <v>153174.06</v>
      </c>
      <c r="Q10" s="214">
        <f>8401999.004*X10</f>
        <v>8401999.0040000007</v>
      </c>
      <c r="R10" s="214">
        <f>M10*N10</f>
        <v>0</v>
      </c>
      <c r="S10" s="214">
        <f>M10*O10</f>
        <v>0</v>
      </c>
      <c r="T10" s="214">
        <f>M10*P10</f>
        <v>81243.521423999991</v>
      </c>
      <c r="U10" s="214">
        <f>M10*Q10</f>
        <v>4456420.2717216006</v>
      </c>
      <c r="V10" s="813">
        <v>1</v>
      </c>
      <c r="W10" s="813">
        <v>1</v>
      </c>
      <c r="X10" s="813">
        <v>1</v>
      </c>
      <c r="Y10" s="409"/>
      <c r="Z10" s="409"/>
      <c r="AA10" s="409"/>
      <c r="AB10" s="896" t="s">
        <v>133</v>
      </c>
    </row>
    <row r="11" spans="1:28" x14ac:dyDescent="0.25">
      <c r="A11" s="129"/>
      <c r="B11" s="198"/>
      <c r="C11" s="129"/>
      <c r="D11" s="644" t="s">
        <v>1428</v>
      </c>
      <c r="E11" s="198"/>
      <c r="F11" s="129"/>
      <c r="G11" s="671">
        <v>0</v>
      </c>
      <c r="H11" s="671">
        <v>0</v>
      </c>
      <c r="I11" s="671">
        <v>0</v>
      </c>
      <c r="J11" s="671">
        <v>0</v>
      </c>
      <c r="K11" s="671">
        <v>0</v>
      </c>
      <c r="L11" s="671">
        <f>85*0.16*3*1.3/100</f>
        <v>0.53039999999999998</v>
      </c>
      <c r="M11" s="671"/>
      <c r="N11" s="430"/>
      <c r="O11" s="430"/>
      <c r="P11" s="430"/>
      <c r="Q11" s="430"/>
      <c r="R11" s="430"/>
      <c r="S11" s="430"/>
      <c r="T11" s="430"/>
      <c r="U11" s="430"/>
      <c r="V11" s="129">
        <v>1</v>
      </c>
      <c r="W11" s="129">
        <v>1</v>
      </c>
      <c r="X11" s="129">
        <v>1</v>
      </c>
      <c r="Y11" s="409"/>
      <c r="Z11" s="409"/>
      <c r="AA11" s="409"/>
    </row>
    <row r="12" spans="1:28" ht="45" x14ac:dyDescent="0.25">
      <c r="A12" s="813"/>
      <c r="B12" s="870">
        <v>3</v>
      </c>
      <c r="C12" s="813" t="s">
        <v>1159</v>
      </c>
      <c r="D12" s="414" t="s">
        <v>706</v>
      </c>
      <c r="E12" s="870" t="s">
        <v>982</v>
      </c>
      <c r="F12" s="813"/>
      <c r="G12" s="441">
        <v>0</v>
      </c>
      <c r="H12" s="441">
        <v>0</v>
      </c>
      <c r="I12" s="441">
        <v>0</v>
      </c>
      <c r="J12" s="441">
        <v>0</v>
      </c>
      <c r="K12" s="441">
        <v>0</v>
      </c>
      <c r="L12" s="671">
        <f t="shared" ref="L12:L15" si="0">0</f>
        <v>0</v>
      </c>
      <c r="M12" s="671">
        <f>M10</f>
        <v>0.53039999999999998</v>
      </c>
      <c r="N12" s="214">
        <f>0*V12</f>
        <v>0</v>
      </c>
      <c r="O12" s="214">
        <f t="shared" ref="O12:P12" si="1">0*V12</f>
        <v>0</v>
      </c>
      <c r="P12" s="214">
        <f t="shared" si="1"/>
        <v>0</v>
      </c>
      <c r="Q12" s="214">
        <f>7400473.632*X12</f>
        <v>7400473.6320000002</v>
      </c>
      <c r="R12" s="214">
        <f t="shared" ref="R12:R15" si="2">M12*N12</f>
        <v>0</v>
      </c>
      <c r="S12" s="214">
        <f t="shared" ref="S12:S15" si="3">M12*O12</f>
        <v>0</v>
      </c>
      <c r="T12" s="214">
        <f t="shared" ref="T12:T15" si="4">M12*P12</f>
        <v>0</v>
      </c>
      <c r="U12" s="214">
        <f t="shared" ref="U12:U15" si="5">M12*Q12</f>
        <v>3925211.2144128</v>
      </c>
      <c r="V12" s="813">
        <v>1</v>
      </c>
      <c r="W12" s="813">
        <v>1</v>
      </c>
      <c r="X12" s="813">
        <v>1</v>
      </c>
      <c r="Y12" s="409"/>
      <c r="Z12" s="409"/>
      <c r="AA12" s="409"/>
      <c r="AB12" s="896" t="s">
        <v>133</v>
      </c>
    </row>
    <row r="13" spans="1:28" ht="45" x14ac:dyDescent="0.25">
      <c r="A13" s="382"/>
      <c r="B13" s="439">
        <v>4</v>
      </c>
      <c r="C13" s="382" t="s">
        <v>172</v>
      </c>
      <c r="D13" s="859" t="s">
        <v>576</v>
      </c>
      <c r="E13" s="439" t="s">
        <v>1272</v>
      </c>
      <c r="F13" s="382"/>
      <c r="G13" s="893">
        <v>0</v>
      </c>
      <c r="H13" s="893">
        <v>0</v>
      </c>
      <c r="I13" s="893">
        <v>0</v>
      </c>
      <c r="J13" s="893">
        <v>0</v>
      </c>
      <c r="K13" s="893">
        <v>0</v>
      </c>
      <c r="L13" s="671">
        <f t="shared" si="0"/>
        <v>0</v>
      </c>
      <c r="M13" s="671">
        <v>2</v>
      </c>
      <c r="N13" s="686">
        <f t="shared" ref="N13:P14" si="6">0</f>
        <v>0</v>
      </c>
      <c r="O13" s="686">
        <f t="shared" si="6"/>
        <v>0</v>
      </c>
      <c r="P13" s="686">
        <f t="shared" si="6"/>
        <v>0</v>
      </c>
      <c r="Q13" s="686">
        <f>3200000*X13</f>
        <v>3200000</v>
      </c>
      <c r="R13" s="686">
        <f t="shared" si="2"/>
        <v>0</v>
      </c>
      <c r="S13" s="686">
        <f t="shared" si="3"/>
        <v>0</v>
      </c>
      <c r="T13" s="686">
        <f t="shared" si="4"/>
        <v>0</v>
      </c>
      <c r="U13" s="686">
        <f t="shared" si="5"/>
        <v>6400000</v>
      </c>
      <c r="V13" s="382">
        <v>1</v>
      </c>
      <c r="W13" s="382">
        <v>1</v>
      </c>
      <c r="X13" s="382">
        <v>1</v>
      </c>
      <c r="Y13" s="409"/>
      <c r="Z13" s="409"/>
      <c r="AA13" s="409"/>
      <c r="AB13" s="896" t="s">
        <v>924</v>
      </c>
    </row>
    <row r="14" spans="1:28" ht="30" x14ac:dyDescent="0.25">
      <c r="A14" s="382"/>
      <c r="B14" s="439">
        <v>5</v>
      </c>
      <c r="C14" s="382" t="s">
        <v>172</v>
      </c>
      <c r="D14" s="859" t="s">
        <v>1377</v>
      </c>
      <c r="E14" s="439" t="s">
        <v>1272</v>
      </c>
      <c r="F14" s="382"/>
      <c r="G14" s="893">
        <v>0</v>
      </c>
      <c r="H14" s="893">
        <v>0</v>
      </c>
      <c r="I14" s="893">
        <v>0</v>
      </c>
      <c r="J14" s="893">
        <v>0</v>
      </c>
      <c r="K14" s="893">
        <v>0</v>
      </c>
      <c r="L14" s="671">
        <f t="shared" si="0"/>
        <v>0</v>
      </c>
      <c r="M14" s="671">
        <v>2</v>
      </c>
      <c r="N14" s="686">
        <f t="shared" si="6"/>
        <v>0</v>
      </c>
      <c r="O14" s="686">
        <f t="shared" si="6"/>
        <v>0</v>
      </c>
      <c r="P14" s="686">
        <f t="shared" si="6"/>
        <v>0</v>
      </c>
      <c r="Q14" s="686">
        <f>2000000*X14</f>
        <v>2000000</v>
      </c>
      <c r="R14" s="686">
        <f t="shared" si="2"/>
        <v>0</v>
      </c>
      <c r="S14" s="686">
        <f t="shared" si="3"/>
        <v>0</v>
      </c>
      <c r="T14" s="686">
        <f t="shared" si="4"/>
        <v>0</v>
      </c>
      <c r="U14" s="686">
        <f t="shared" si="5"/>
        <v>4000000</v>
      </c>
      <c r="V14" s="382">
        <v>1</v>
      </c>
      <c r="W14" s="382">
        <v>1</v>
      </c>
      <c r="X14" s="382">
        <v>1</v>
      </c>
      <c r="Y14" s="409"/>
      <c r="Z14" s="409"/>
      <c r="AA14" s="409"/>
      <c r="AB14" s="896" t="s">
        <v>924</v>
      </c>
    </row>
    <row r="15" spans="1:28" ht="60" x14ac:dyDescent="0.25">
      <c r="A15" s="813"/>
      <c r="B15" s="870">
        <v>6</v>
      </c>
      <c r="C15" s="813" t="s">
        <v>1331</v>
      </c>
      <c r="D15" s="414" t="s">
        <v>1264</v>
      </c>
      <c r="E15" s="870" t="s">
        <v>982</v>
      </c>
      <c r="F15" s="813"/>
      <c r="G15" s="441">
        <v>0</v>
      </c>
      <c r="H15" s="441">
        <v>0</v>
      </c>
      <c r="I15" s="441">
        <v>0</v>
      </c>
      <c r="J15" s="441">
        <v>0</v>
      </c>
      <c r="K15" s="441">
        <v>0</v>
      </c>
      <c r="L15" s="671">
        <f t="shared" si="0"/>
        <v>0</v>
      </c>
      <c r="M15" s="671">
        <f>SUM(L16:L16)</f>
        <v>0.875</v>
      </c>
      <c r="N15" s="214">
        <f>0*V15</f>
        <v>0</v>
      </c>
      <c r="O15" s="214">
        <f>0*V15</f>
        <v>0</v>
      </c>
      <c r="P15" s="214">
        <f>951050.88*W15</f>
        <v>951050.88</v>
      </c>
      <c r="Q15" s="214">
        <f>5600000*X15</f>
        <v>5600000</v>
      </c>
      <c r="R15" s="214">
        <f t="shared" si="2"/>
        <v>0</v>
      </c>
      <c r="S15" s="214">
        <f t="shared" si="3"/>
        <v>0</v>
      </c>
      <c r="T15" s="214">
        <f t="shared" si="4"/>
        <v>832169.52</v>
      </c>
      <c r="U15" s="214">
        <f t="shared" si="5"/>
        <v>4900000</v>
      </c>
      <c r="V15" s="813">
        <v>1</v>
      </c>
      <c r="W15" s="813">
        <v>1</v>
      </c>
      <c r="X15" s="813">
        <v>1</v>
      </c>
      <c r="Y15" s="409"/>
      <c r="Z15" s="409"/>
      <c r="AA15" s="409"/>
      <c r="AB15" s="896" t="s">
        <v>133</v>
      </c>
    </row>
    <row r="16" spans="1:28" x14ac:dyDescent="0.25">
      <c r="A16" s="129"/>
      <c r="B16" s="198"/>
      <c r="C16" s="129"/>
      <c r="D16" s="644" t="s">
        <v>1030</v>
      </c>
      <c r="E16" s="198"/>
      <c r="F16" s="129"/>
      <c r="G16" s="671">
        <v>0</v>
      </c>
      <c r="H16" s="671">
        <v>0</v>
      </c>
      <c r="I16" s="671">
        <v>0</v>
      </c>
      <c r="J16" s="671">
        <v>0</v>
      </c>
      <c r="K16" s="671">
        <v>0</v>
      </c>
      <c r="L16" s="671">
        <f>50*3.5*0.5/100</f>
        <v>0.875</v>
      </c>
      <c r="M16" s="671"/>
      <c r="N16" s="430"/>
      <c r="O16" s="430"/>
      <c r="P16" s="430"/>
      <c r="Q16" s="430"/>
      <c r="R16" s="430"/>
      <c r="S16" s="430"/>
      <c r="T16" s="430"/>
      <c r="U16" s="430"/>
      <c r="V16" s="129">
        <v>1</v>
      </c>
      <c r="W16" s="129">
        <v>1</v>
      </c>
      <c r="X16" s="129">
        <v>1</v>
      </c>
      <c r="Y16" s="409"/>
      <c r="Z16" s="409"/>
      <c r="AA16" s="409"/>
    </row>
    <row r="17" spans="1:28" ht="45" x14ac:dyDescent="0.25">
      <c r="A17" s="813"/>
      <c r="B17" s="870">
        <v>7</v>
      </c>
      <c r="C17" s="813" t="s">
        <v>1172</v>
      </c>
      <c r="D17" s="414" t="s">
        <v>1299</v>
      </c>
      <c r="E17" s="870" t="s">
        <v>1272</v>
      </c>
      <c r="F17" s="813"/>
      <c r="G17" s="441">
        <v>0</v>
      </c>
      <c r="H17" s="441">
        <v>0</v>
      </c>
      <c r="I17" s="441">
        <v>0</v>
      </c>
      <c r="J17" s="441">
        <v>0</v>
      </c>
      <c r="K17" s="441">
        <v>0</v>
      </c>
      <c r="L17" s="671">
        <f t="shared" ref="L17:L18" si="7">0</f>
        <v>0</v>
      </c>
      <c r="M17" s="671">
        <v>1</v>
      </c>
      <c r="N17" s="214">
        <f>0*V17</f>
        <v>0</v>
      </c>
      <c r="O17" s="214">
        <f t="shared" ref="O17:O18" si="8">0*V17</f>
        <v>0</v>
      </c>
      <c r="P17" s="214">
        <f>0*W17</f>
        <v>0</v>
      </c>
      <c r="Q17" s="214">
        <f>2000000*X17</f>
        <v>2000000</v>
      </c>
      <c r="R17" s="214">
        <f t="shared" ref="R17:R18" si="9">M17*N17</f>
        <v>0</v>
      </c>
      <c r="S17" s="214">
        <f t="shared" ref="S17:S18" si="10">M17*O17</f>
        <v>0</v>
      </c>
      <c r="T17" s="214">
        <f t="shared" ref="T17:T18" si="11">M17*P17</f>
        <v>0</v>
      </c>
      <c r="U17" s="214">
        <f t="shared" ref="U17:U18" si="12">M17*Q17</f>
        <v>2000000</v>
      </c>
      <c r="V17" s="813">
        <v>1</v>
      </c>
      <c r="W17" s="813">
        <v>1</v>
      </c>
      <c r="X17" s="813">
        <v>1</v>
      </c>
      <c r="Y17" s="409"/>
      <c r="Z17" s="409"/>
      <c r="AA17" s="409"/>
      <c r="AB17" s="896" t="s">
        <v>133</v>
      </c>
    </row>
    <row r="18" spans="1:28" ht="30" x14ac:dyDescent="0.25">
      <c r="A18" s="813"/>
      <c r="B18" s="870">
        <v>8</v>
      </c>
      <c r="C18" s="813" t="s">
        <v>1201</v>
      </c>
      <c r="D18" s="414" t="s">
        <v>648</v>
      </c>
      <c r="E18" s="870" t="s">
        <v>982</v>
      </c>
      <c r="F18" s="813"/>
      <c r="G18" s="441">
        <v>0</v>
      </c>
      <c r="H18" s="441">
        <v>0</v>
      </c>
      <c r="I18" s="441">
        <v>0</v>
      </c>
      <c r="J18" s="441">
        <v>0</v>
      </c>
      <c r="K18" s="441">
        <v>0</v>
      </c>
      <c r="L18" s="671">
        <f t="shared" si="7"/>
        <v>0</v>
      </c>
      <c r="M18" s="671">
        <f>SUM(L19:L19)</f>
        <v>0.5</v>
      </c>
      <c r="N18" s="214">
        <f>29480000*V18</f>
        <v>29480000</v>
      </c>
      <c r="O18" s="214">
        <f t="shared" si="8"/>
        <v>0</v>
      </c>
      <c r="P18" s="214">
        <f>1481448*W18</f>
        <v>1481448</v>
      </c>
      <c r="Q18" s="214">
        <f>544003.887*X18</f>
        <v>544003.88699999999</v>
      </c>
      <c r="R18" s="214">
        <f t="shared" si="9"/>
        <v>14740000</v>
      </c>
      <c r="S18" s="214">
        <f t="shared" si="10"/>
        <v>0</v>
      </c>
      <c r="T18" s="214">
        <f t="shared" si="11"/>
        <v>740724</v>
      </c>
      <c r="U18" s="214">
        <f t="shared" si="12"/>
        <v>272001.94349999999</v>
      </c>
      <c r="V18" s="813">
        <v>1</v>
      </c>
      <c r="W18" s="813">
        <v>1</v>
      </c>
      <c r="X18" s="813">
        <v>1</v>
      </c>
      <c r="Y18" s="409"/>
      <c r="Z18" s="409"/>
      <c r="AA18" s="409"/>
    </row>
    <row r="19" spans="1:28" x14ac:dyDescent="0.25">
      <c r="A19" s="129"/>
      <c r="B19" s="198"/>
      <c r="C19" s="129"/>
      <c r="D19" s="644" t="s">
        <v>53</v>
      </c>
      <c r="E19" s="198"/>
      <c r="F19" s="129"/>
      <c r="G19" s="671">
        <v>0</v>
      </c>
      <c r="H19" s="671">
        <v>0</v>
      </c>
      <c r="I19" s="671">
        <v>0</v>
      </c>
      <c r="J19" s="671">
        <v>0</v>
      </c>
      <c r="K19" s="671">
        <v>0</v>
      </c>
      <c r="L19" s="671">
        <f>50/100</f>
        <v>0.5</v>
      </c>
      <c r="M19" s="671"/>
      <c r="N19" s="430"/>
      <c r="O19" s="430"/>
      <c r="P19" s="430"/>
      <c r="Q19" s="430"/>
      <c r="R19" s="430"/>
      <c r="S19" s="430"/>
      <c r="T19" s="430"/>
      <c r="U19" s="430"/>
      <c r="V19" s="129">
        <v>1</v>
      </c>
      <c r="W19" s="129">
        <v>1</v>
      </c>
      <c r="X19" s="129">
        <v>1</v>
      </c>
      <c r="Y19" s="409"/>
      <c r="Z19" s="409"/>
      <c r="AA19" s="409"/>
    </row>
    <row r="20" spans="1:28" ht="30" x14ac:dyDescent="0.25">
      <c r="A20" s="813"/>
      <c r="B20" s="870">
        <v>9</v>
      </c>
      <c r="C20" s="813" t="s">
        <v>1300</v>
      </c>
      <c r="D20" s="414" t="s">
        <v>1010</v>
      </c>
      <c r="E20" s="870" t="s">
        <v>982</v>
      </c>
      <c r="F20" s="813"/>
      <c r="G20" s="441">
        <v>0</v>
      </c>
      <c r="H20" s="441">
        <v>0</v>
      </c>
      <c r="I20" s="441">
        <v>0</v>
      </c>
      <c r="J20" s="441">
        <v>0</v>
      </c>
      <c r="K20" s="441">
        <v>0</v>
      </c>
      <c r="L20" s="671">
        <f>0</f>
        <v>0</v>
      </c>
      <c r="M20" s="671">
        <f>SUM(L21:L21)</f>
        <v>0.16649999999999998</v>
      </c>
      <c r="N20" s="214">
        <f>33500000*V20</f>
        <v>33500000</v>
      </c>
      <c r="O20" s="214">
        <f>0*V20</f>
        <v>0</v>
      </c>
      <c r="P20" s="214">
        <f>1234540*W20</f>
        <v>1234540</v>
      </c>
      <c r="Q20" s="214">
        <f>0*X20</f>
        <v>0</v>
      </c>
      <c r="R20" s="214">
        <f>M20*N20</f>
        <v>5577749.9999999991</v>
      </c>
      <c r="S20" s="214">
        <f>M20*O20</f>
        <v>0</v>
      </c>
      <c r="T20" s="214">
        <f>M20*P20</f>
        <v>205550.90999999997</v>
      </c>
      <c r="U20" s="214">
        <f>M20*Q20</f>
        <v>0</v>
      </c>
      <c r="V20" s="813">
        <v>1</v>
      </c>
      <c r="W20" s="813">
        <v>1</v>
      </c>
      <c r="X20" s="813">
        <v>1</v>
      </c>
      <c r="Y20" s="409"/>
      <c r="Z20" s="409"/>
      <c r="AA20" s="409"/>
      <c r="AB20" s="896" t="s">
        <v>133</v>
      </c>
    </row>
    <row r="21" spans="1:28" x14ac:dyDescent="0.25">
      <c r="A21" s="129"/>
      <c r="B21" s="198"/>
      <c r="C21" s="129"/>
      <c r="D21" s="644" t="s">
        <v>828</v>
      </c>
      <c r="E21" s="198"/>
      <c r="F21" s="129"/>
      <c r="G21" s="671">
        <v>0</v>
      </c>
      <c r="H21" s="671">
        <v>0</v>
      </c>
      <c r="I21" s="671">
        <v>0</v>
      </c>
      <c r="J21" s="671">
        <v>0</v>
      </c>
      <c r="K21" s="671">
        <v>0</v>
      </c>
      <c r="L21" s="671">
        <f>150*3.7*0.03/100</f>
        <v>0.16649999999999998</v>
      </c>
      <c r="M21" s="671"/>
      <c r="N21" s="430"/>
      <c r="O21" s="430"/>
      <c r="P21" s="430"/>
      <c r="Q21" s="430"/>
      <c r="R21" s="430"/>
      <c r="S21" s="430"/>
      <c r="T21" s="430"/>
      <c r="U21" s="430"/>
      <c r="V21" s="129">
        <v>1</v>
      </c>
      <c r="W21" s="129">
        <v>1</v>
      </c>
      <c r="X21" s="129">
        <v>1</v>
      </c>
      <c r="Y21" s="409"/>
      <c r="Z21" s="409"/>
      <c r="AA21" s="409"/>
    </row>
    <row r="22" spans="1:28" ht="30" x14ac:dyDescent="0.25">
      <c r="A22" s="813"/>
      <c r="B22" s="870">
        <v>10</v>
      </c>
      <c r="C22" s="813" t="s">
        <v>505</v>
      </c>
      <c r="D22" s="414" t="s">
        <v>963</v>
      </c>
      <c r="E22" s="870" t="s">
        <v>1272</v>
      </c>
      <c r="F22" s="813"/>
      <c r="G22" s="441">
        <v>0</v>
      </c>
      <c r="H22" s="441">
        <v>0</v>
      </c>
      <c r="I22" s="441">
        <v>0</v>
      </c>
      <c r="J22" s="441">
        <v>0</v>
      </c>
      <c r="K22" s="441">
        <v>0</v>
      </c>
      <c r="L22" s="671">
        <f t="shared" ref="L22:L25" si="13">0</f>
        <v>0</v>
      </c>
      <c r="M22" s="671">
        <v>1</v>
      </c>
      <c r="N22" s="214">
        <f t="shared" ref="N22:O23" si="14">0</f>
        <v>0</v>
      </c>
      <c r="O22" s="214">
        <f t="shared" si="14"/>
        <v>0</v>
      </c>
      <c r="P22" s="214">
        <f>0</f>
        <v>0</v>
      </c>
      <c r="Q22" s="214">
        <f>5000000*X22</f>
        <v>5000000</v>
      </c>
      <c r="R22" s="214">
        <f t="shared" ref="R22:R25" si="15">M22*N22</f>
        <v>0</v>
      </c>
      <c r="S22" s="214">
        <f t="shared" ref="S22:S25" si="16">M22*O22</f>
        <v>0</v>
      </c>
      <c r="T22" s="214">
        <f t="shared" ref="T22:T25" si="17">M22*P22</f>
        <v>0</v>
      </c>
      <c r="U22" s="214">
        <f t="shared" ref="U22:U25" si="18">M22*Q22</f>
        <v>5000000</v>
      </c>
      <c r="V22" s="813">
        <v>1</v>
      </c>
      <c r="W22" s="813">
        <v>1</v>
      </c>
      <c r="X22" s="813">
        <v>1</v>
      </c>
      <c r="Y22" s="409"/>
      <c r="Z22" s="409"/>
      <c r="AA22" s="409"/>
    </row>
    <row r="23" spans="1:28" ht="45" x14ac:dyDescent="0.25">
      <c r="A23" s="382"/>
      <c r="B23" s="439">
        <v>11</v>
      </c>
      <c r="C23" s="382" t="s">
        <v>172</v>
      </c>
      <c r="D23" s="859" t="s">
        <v>863</v>
      </c>
      <c r="E23" s="439" t="s">
        <v>239</v>
      </c>
      <c r="F23" s="382"/>
      <c r="G23" s="893">
        <v>0</v>
      </c>
      <c r="H23" s="893">
        <v>0</v>
      </c>
      <c r="I23" s="893">
        <v>0</v>
      </c>
      <c r="J23" s="893">
        <v>0</v>
      </c>
      <c r="K23" s="893">
        <v>0</v>
      </c>
      <c r="L23" s="671">
        <f t="shared" si="13"/>
        <v>0</v>
      </c>
      <c r="M23" s="671">
        <v>4</v>
      </c>
      <c r="N23" s="686">
        <f t="shared" si="14"/>
        <v>0</v>
      </c>
      <c r="O23" s="686">
        <f t="shared" si="14"/>
        <v>0</v>
      </c>
      <c r="P23" s="686">
        <f>450000*W23</f>
        <v>450000</v>
      </c>
      <c r="Q23" s="686">
        <f>0</f>
        <v>0</v>
      </c>
      <c r="R23" s="686">
        <f t="shared" si="15"/>
        <v>0</v>
      </c>
      <c r="S23" s="686">
        <f t="shared" si="16"/>
        <v>0</v>
      </c>
      <c r="T23" s="686">
        <f t="shared" si="17"/>
        <v>1800000</v>
      </c>
      <c r="U23" s="686">
        <f t="shared" si="18"/>
        <v>0</v>
      </c>
      <c r="V23" s="382">
        <v>1</v>
      </c>
      <c r="W23" s="382">
        <v>1</v>
      </c>
      <c r="X23" s="382">
        <v>1</v>
      </c>
      <c r="Y23" s="409"/>
      <c r="Z23" s="409"/>
      <c r="AA23" s="409"/>
      <c r="AB23" s="896" t="s">
        <v>924</v>
      </c>
    </row>
    <row r="24" spans="1:28" ht="45" x14ac:dyDescent="0.25">
      <c r="A24" s="813"/>
      <c r="B24" s="870">
        <v>12</v>
      </c>
      <c r="C24" s="813" t="s">
        <v>220</v>
      </c>
      <c r="D24" s="414" t="s">
        <v>344</v>
      </c>
      <c r="E24" s="870" t="s">
        <v>148</v>
      </c>
      <c r="F24" s="813"/>
      <c r="G24" s="441">
        <v>0</v>
      </c>
      <c r="H24" s="441">
        <v>0</v>
      </c>
      <c r="I24" s="441">
        <v>0</v>
      </c>
      <c r="J24" s="441">
        <v>0</v>
      </c>
      <c r="K24" s="441">
        <v>0</v>
      </c>
      <c r="L24" s="671">
        <f t="shared" si="13"/>
        <v>0</v>
      </c>
      <c r="M24" s="671">
        <v>5</v>
      </c>
      <c r="N24" s="214">
        <f>1050525*V24</f>
        <v>1050525</v>
      </c>
      <c r="O24" s="214">
        <f>0*V24</f>
        <v>0</v>
      </c>
      <c r="P24" s="214">
        <f>70200*W24</f>
        <v>70200</v>
      </c>
      <c r="Q24" s="214">
        <f>63337.4658*X24</f>
        <v>63337.465799999998</v>
      </c>
      <c r="R24" s="214">
        <f t="shared" si="15"/>
        <v>5252625</v>
      </c>
      <c r="S24" s="214">
        <f t="shared" si="16"/>
        <v>0</v>
      </c>
      <c r="T24" s="214">
        <f t="shared" si="17"/>
        <v>351000</v>
      </c>
      <c r="U24" s="214">
        <f t="shared" si="18"/>
        <v>316687.32899999997</v>
      </c>
      <c r="V24" s="813">
        <v>1</v>
      </c>
      <c r="W24" s="813">
        <v>1</v>
      </c>
      <c r="X24" s="813">
        <v>1</v>
      </c>
      <c r="Y24" s="409"/>
      <c r="Z24" s="409"/>
      <c r="AA24" s="409"/>
      <c r="AB24" s="896" t="s">
        <v>59</v>
      </c>
    </row>
    <row r="25" spans="1:28" x14ac:dyDescent="0.25">
      <c r="A25" s="382"/>
      <c r="B25" s="439">
        <v>13</v>
      </c>
      <c r="C25" s="382" t="s">
        <v>172</v>
      </c>
      <c r="D25" s="859" t="s">
        <v>1003</v>
      </c>
      <c r="E25" s="439" t="s">
        <v>418</v>
      </c>
      <c r="F25" s="382"/>
      <c r="G25" s="893">
        <v>0</v>
      </c>
      <c r="H25" s="893">
        <v>0</v>
      </c>
      <c r="I25" s="893">
        <v>0</v>
      </c>
      <c r="J25" s="893">
        <v>0</v>
      </c>
      <c r="K25" s="893">
        <v>0</v>
      </c>
      <c r="L25" s="671">
        <f t="shared" si="13"/>
        <v>0</v>
      </c>
      <c r="M25" s="671">
        <v>2</v>
      </c>
      <c r="N25" s="686">
        <f>1000000*V25</f>
        <v>1000000</v>
      </c>
      <c r="O25" s="686">
        <f>0</f>
        <v>0</v>
      </c>
      <c r="P25" s="686">
        <f>1000000*W25</f>
        <v>1000000</v>
      </c>
      <c r="Q25" s="686">
        <f>0</f>
        <v>0</v>
      </c>
      <c r="R25" s="686">
        <f t="shared" si="15"/>
        <v>2000000</v>
      </c>
      <c r="S25" s="686">
        <f t="shared" si="16"/>
        <v>0</v>
      </c>
      <c r="T25" s="686">
        <f t="shared" si="17"/>
        <v>2000000</v>
      </c>
      <c r="U25" s="686">
        <f t="shared" si="18"/>
        <v>0</v>
      </c>
      <c r="V25" s="382">
        <v>1</v>
      </c>
      <c r="W25" s="382">
        <v>1</v>
      </c>
      <c r="X25" s="382">
        <v>1</v>
      </c>
      <c r="Y25" s="409"/>
      <c r="Z25" s="409"/>
      <c r="AA25" s="409"/>
      <c r="AB25" s="896" t="s">
        <v>924</v>
      </c>
    </row>
    <row r="26" spans="1:28" x14ac:dyDescent="0.25">
      <c r="A26" s="252"/>
      <c r="B26" s="551"/>
      <c r="C26" s="482"/>
      <c r="D26" s="1088" t="s">
        <v>339</v>
      </c>
      <c r="E26" s="1089"/>
      <c r="F26" s="1088"/>
      <c r="G26" s="1090"/>
      <c r="H26" s="1090"/>
      <c r="I26" s="1090"/>
      <c r="J26" s="1090"/>
      <c r="K26" s="1090"/>
      <c r="L26" s="1091"/>
      <c r="M26" s="1091"/>
      <c r="N26" s="1092"/>
      <c r="O26" s="1092"/>
      <c r="P26" s="1092"/>
      <c r="Q26" s="1092"/>
      <c r="R26" s="779">
        <f>SUMIF(B27:B38,"&gt;0",R27:R38)</f>
        <v>373923870.0949375</v>
      </c>
      <c r="S26" s="779">
        <f>SUMIF(B27:B38,"&gt;0",S27:S38)</f>
        <v>0</v>
      </c>
      <c r="T26" s="779">
        <f>SUMIF(B27:B38,"&gt;0",T27:T38)</f>
        <v>172977436.44400001</v>
      </c>
      <c r="U26" s="779">
        <f>SUMIF(B27:B38,"&gt;0",U27:U38)</f>
        <v>33502790.763923202</v>
      </c>
      <c r="V26" s="482"/>
      <c r="W26" s="482"/>
      <c r="X26" s="482"/>
      <c r="Y26" s="409"/>
      <c r="Z26" s="409"/>
      <c r="AA26" s="409"/>
    </row>
    <row r="27" spans="1:28" x14ac:dyDescent="0.25">
      <c r="A27" s="813"/>
      <c r="B27" s="870">
        <v>14</v>
      </c>
      <c r="C27" s="813" t="s">
        <v>15</v>
      </c>
      <c r="D27" s="414" t="s">
        <v>902</v>
      </c>
      <c r="E27" s="870" t="s">
        <v>568</v>
      </c>
      <c r="F27" s="813"/>
      <c r="G27" s="441">
        <v>0</v>
      </c>
      <c r="H27" s="441">
        <v>0</v>
      </c>
      <c r="I27" s="441">
        <v>0</v>
      </c>
      <c r="J27" s="441">
        <v>0</v>
      </c>
      <c r="K27" s="441">
        <v>0</v>
      </c>
      <c r="L27" s="671">
        <f>0</f>
        <v>0</v>
      </c>
      <c r="M27" s="671">
        <f>SUM(L28:L29)</f>
        <v>18.594999999999999</v>
      </c>
      <c r="N27" s="214">
        <f>440880*V27</f>
        <v>440880</v>
      </c>
      <c r="O27" s="214">
        <f>0*V27</f>
        <v>0</v>
      </c>
      <c r="P27" s="214">
        <f>40500*W27</f>
        <v>40500</v>
      </c>
      <c r="Q27" s="214">
        <f>0*X27</f>
        <v>0</v>
      </c>
      <c r="R27" s="214">
        <f>M27*N27</f>
        <v>8198163.5999999996</v>
      </c>
      <c r="S27" s="214">
        <f>M27*O27</f>
        <v>0</v>
      </c>
      <c r="T27" s="214">
        <f>M27*P27</f>
        <v>753097.5</v>
      </c>
      <c r="U27" s="214">
        <f>M27*Q27</f>
        <v>0</v>
      </c>
      <c r="V27" s="813">
        <v>1</v>
      </c>
      <c r="W27" s="813">
        <v>1</v>
      </c>
      <c r="X27" s="813">
        <v>1</v>
      </c>
      <c r="Y27" s="409"/>
      <c r="Z27" s="409"/>
      <c r="AA27" s="409"/>
    </row>
    <row r="28" spans="1:28" x14ac:dyDescent="0.25">
      <c r="A28" s="129"/>
      <c r="B28" s="198"/>
      <c r="C28" s="129"/>
      <c r="D28" s="644" t="s">
        <v>888</v>
      </c>
      <c r="E28" s="198"/>
      <c r="F28" s="129"/>
      <c r="G28" s="671">
        <v>0</v>
      </c>
      <c r="H28" s="671">
        <v>0</v>
      </c>
      <c r="I28" s="671">
        <v>0</v>
      </c>
      <c r="J28" s="671">
        <v>0</v>
      </c>
      <c r="K28" s="671">
        <v>0</v>
      </c>
      <c r="L28" s="671">
        <f>517*3.5/100</f>
        <v>18.094999999999999</v>
      </c>
      <c r="M28" s="671"/>
      <c r="N28" s="430"/>
      <c r="O28" s="430"/>
      <c r="P28" s="430"/>
      <c r="Q28" s="430"/>
      <c r="R28" s="430"/>
      <c r="S28" s="430"/>
      <c r="T28" s="430"/>
      <c r="U28" s="430"/>
      <c r="V28" s="129">
        <v>1</v>
      </c>
      <c r="W28" s="129">
        <v>1</v>
      </c>
      <c r="X28" s="129">
        <v>1</v>
      </c>
      <c r="Y28" s="409"/>
      <c r="Z28" s="409"/>
      <c r="AA28" s="409"/>
    </row>
    <row r="29" spans="1:28" ht="30" x14ac:dyDescent="0.25">
      <c r="A29" s="129"/>
      <c r="B29" s="198"/>
      <c r="C29" s="129"/>
      <c r="D29" s="644" t="s">
        <v>774</v>
      </c>
      <c r="E29" s="198"/>
      <c r="F29" s="129"/>
      <c r="G29" s="671">
        <v>0</v>
      </c>
      <c r="H29" s="671">
        <v>0</v>
      </c>
      <c r="I29" s="671">
        <v>0</v>
      </c>
      <c r="J29" s="671">
        <v>0</v>
      </c>
      <c r="K29" s="671">
        <v>0</v>
      </c>
      <c r="L29" s="671">
        <f>50/100</f>
        <v>0.5</v>
      </c>
      <c r="M29" s="671"/>
      <c r="N29" s="430"/>
      <c r="O29" s="430"/>
      <c r="P29" s="430"/>
      <c r="Q29" s="430"/>
      <c r="R29" s="430"/>
      <c r="S29" s="430"/>
      <c r="T29" s="430"/>
      <c r="U29" s="430"/>
      <c r="V29" s="129">
        <v>1</v>
      </c>
      <c r="W29" s="129">
        <v>1</v>
      </c>
      <c r="X29" s="129">
        <v>1</v>
      </c>
      <c r="Y29" s="409"/>
      <c r="Z29" s="409"/>
      <c r="AA29" s="409"/>
    </row>
    <row r="30" spans="1:28" ht="30" x14ac:dyDescent="0.25">
      <c r="A30" s="813"/>
      <c r="B30" s="870">
        <v>15</v>
      </c>
      <c r="C30" s="813" t="s">
        <v>772</v>
      </c>
      <c r="D30" s="414" t="s">
        <v>486</v>
      </c>
      <c r="E30" s="870" t="s">
        <v>568</v>
      </c>
      <c r="F30" s="813"/>
      <c r="G30" s="441">
        <v>0</v>
      </c>
      <c r="H30" s="441">
        <v>0</v>
      </c>
      <c r="I30" s="441">
        <v>0</v>
      </c>
      <c r="J30" s="441">
        <v>0</v>
      </c>
      <c r="K30" s="441">
        <v>0</v>
      </c>
      <c r="L30" s="671">
        <f>0</f>
        <v>0</v>
      </c>
      <c r="M30" s="671">
        <f>SUM(L31:L31)</f>
        <v>2.0680000000000001</v>
      </c>
      <c r="N30" s="214">
        <f>579768*V30</f>
        <v>579768</v>
      </c>
      <c r="O30" s="214">
        <f>0*V30</f>
        <v>0</v>
      </c>
      <c r="P30" s="214">
        <f>3370558*W30</f>
        <v>3370558</v>
      </c>
      <c r="Q30" s="214">
        <f>182920.8024*X30</f>
        <v>182920.80239999999</v>
      </c>
      <c r="R30" s="214">
        <f>M30*N30</f>
        <v>1198960.2239999999</v>
      </c>
      <c r="S30" s="214">
        <f>M30*O30</f>
        <v>0</v>
      </c>
      <c r="T30" s="214">
        <f>M30*P30</f>
        <v>6970313.9440000001</v>
      </c>
      <c r="U30" s="214">
        <f>M30*Q30</f>
        <v>378280.21936319995</v>
      </c>
      <c r="V30" s="813">
        <v>1</v>
      </c>
      <c r="W30" s="813">
        <v>1</v>
      </c>
      <c r="X30" s="813">
        <v>1</v>
      </c>
      <c r="Y30" s="409"/>
      <c r="Z30" s="409"/>
      <c r="AA30" s="409"/>
    </row>
    <row r="31" spans="1:28" x14ac:dyDescent="0.25">
      <c r="A31" s="129"/>
      <c r="B31" s="198"/>
      <c r="C31" s="129"/>
      <c r="D31" s="644" t="s">
        <v>743</v>
      </c>
      <c r="E31" s="198"/>
      <c r="F31" s="129"/>
      <c r="G31" s="671">
        <v>0</v>
      </c>
      <c r="H31" s="671">
        <v>0</v>
      </c>
      <c r="I31" s="671">
        <v>0</v>
      </c>
      <c r="J31" s="671">
        <v>0</v>
      </c>
      <c r="K31" s="671">
        <v>0</v>
      </c>
      <c r="L31" s="671">
        <f>517*0.2*2/100</f>
        <v>2.0680000000000001</v>
      </c>
      <c r="M31" s="671"/>
      <c r="N31" s="430"/>
      <c r="O31" s="430"/>
      <c r="P31" s="430"/>
      <c r="Q31" s="430"/>
      <c r="R31" s="430"/>
      <c r="S31" s="430"/>
      <c r="T31" s="430"/>
      <c r="U31" s="430"/>
      <c r="V31" s="129">
        <v>1</v>
      </c>
      <c r="W31" s="129">
        <v>1</v>
      </c>
      <c r="X31" s="129">
        <v>1</v>
      </c>
      <c r="Y31" s="409"/>
      <c r="Z31" s="409"/>
      <c r="AA31" s="409"/>
    </row>
    <row r="32" spans="1:28" ht="75" x14ac:dyDescent="0.25">
      <c r="A32" s="813"/>
      <c r="B32" s="870">
        <v>16</v>
      </c>
      <c r="C32" s="813" t="s">
        <v>1127</v>
      </c>
      <c r="D32" s="414" t="s">
        <v>983</v>
      </c>
      <c r="E32" s="870" t="s">
        <v>144</v>
      </c>
      <c r="F32" s="813"/>
      <c r="G32" s="441">
        <v>0</v>
      </c>
      <c r="H32" s="441">
        <v>0</v>
      </c>
      <c r="I32" s="441">
        <v>0</v>
      </c>
      <c r="J32" s="441">
        <v>0</v>
      </c>
      <c r="K32" s="441">
        <v>0</v>
      </c>
      <c r="L32" s="671">
        <f>0</f>
        <v>0</v>
      </c>
      <c r="M32" s="671">
        <f>SUM(L33:L34)</f>
        <v>371.90000000000003</v>
      </c>
      <c r="N32" s="214">
        <f>954474.915625*V32</f>
        <v>954474.91562500002</v>
      </c>
      <c r="O32" s="214">
        <f>0*V32</f>
        <v>0</v>
      </c>
      <c r="P32" s="214">
        <f>369900*W32</f>
        <v>369900</v>
      </c>
      <c r="Q32" s="214">
        <f>82287.9084*X32</f>
        <v>82287.9084</v>
      </c>
      <c r="R32" s="214">
        <f>M32*N32</f>
        <v>354969221.12093753</v>
      </c>
      <c r="S32" s="214">
        <f>M32*O32</f>
        <v>0</v>
      </c>
      <c r="T32" s="214">
        <f>M32*P32</f>
        <v>137565810</v>
      </c>
      <c r="U32" s="214">
        <f>M32*Q32</f>
        <v>30602873.133960001</v>
      </c>
      <c r="V32" s="813">
        <v>1</v>
      </c>
      <c r="W32" s="813">
        <v>1</v>
      </c>
      <c r="X32" s="813">
        <v>1</v>
      </c>
      <c r="Y32" s="409"/>
      <c r="Z32" s="409"/>
      <c r="AA32" s="409"/>
      <c r="AB32" s="896" t="s">
        <v>133</v>
      </c>
    </row>
    <row r="33" spans="1:28" x14ac:dyDescent="0.25">
      <c r="A33" s="129"/>
      <c r="B33" s="198"/>
      <c r="C33" s="129"/>
      <c r="D33" s="644" t="s">
        <v>1205</v>
      </c>
      <c r="E33" s="198"/>
      <c r="F33" s="129"/>
      <c r="G33" s="671">
        <v>0</v>
      </c>
      <c r="H33" s="671">
        <v>0</v>
      </c>
      <c r="I33" s="671">
        <v>0</v>
      </c>
      <c r="J33" s="671">
        <v>0</v>
      </c>
      <c r="K33" s="671">
        <v>0</v>
      </c>
      <c r="L33" s="671">
        <f>517*3.5*0.2</f>
        <v>361.90000000000003</v>
      </c>
      <c r="M33" s="671"/>
      <c r="N33" s="430"/>
      <c r="O33" s="430"/>
      <c r="P33" s="430"/>
      <c r="Q33" s="430"/>
      <c r="R33" s="430"/>
      <c r="S33" s="430"/>
      <c r="T33" s="430"/>
      <c r="U33" s="430"/>
      <c r="V33" s="129">
        <v>1</v>
      </c>
      <c r="W33" s="129">
        <v>1</v>
      </c>
      <c r="X33" s="129">
        <v>1</v>
      </c>
      <c r="Y33" s="409"/>
      <c r="Z33" s="409"/>
      <c r="AA33" s="409"/>
    </row>
    <row r="34" spans="1:28" x14ac:dyDescent="0.25">
      <c r="A34" s="129"/>
      <c r="B34" s="198"/>
      <c r="C34" s="129"/>
      <c r="D34" s="644" t="s">
        <v>185</v>
      </c>
      <c r="E34" s="198"/>
      <c r="F34" s="129"/>
      <c r="G34" s="671">
        <v>0</v>
      </c>
      <c r="H34" s="671">
        <v>0</v>
      </c>
      <c r="I34" s="671">
        <v>0</v>
      </c>
      <c r="J34" s="671">
        <v>0</v>
      </c>
      <c r="K34" s="671">
        <v>0</v>
      </c>
      <c r="L34" s="671">
        <f>50*0.2</f>
        <v>10</v>
      </c>
      <c r="M34" s="671"/>
      <c r="N34" s="430"/>
      <c r="O34" s="430"/>
      <c r="P34" s="430"/>
      <c r="Q34" s="430"/>
      <c r="R34" s="430"/>
      <c r="S34" s="430"/>
      <c r="T34" s="430"/>
      <c r="U34" s="430"/>
      <c r="V34" s="129">
        <v>1</v>
      </c>
      <c r="W34" s="129">
        <v>1</v>
      </c>
      <c r="X34" s="129">
        <v>1</v>
      </c>
      <c r="Y34" s="409"/>
      <c r="Z34" s="409"/>
      <c r="AA34" s="409"/>
    </row>
    <row r="35" spans="1:28" ht="30" x14ac:dyDescent="0.25">
      <c r="A35" s="813"/>
      <c r="B35" s="870">
        <v>17</v>
      </c>
      <c r="C35" s="813" t="s">
        <v>1085</v>
      </c>
      <c r="D35" s="414" t="s">
        <v>999</v>
      </c>
      <c r="E35" s="870" t="s">
        <v>544</v>
      </c>
      <c r="F35" s="813"/>
      <c r="G35" s="441">
        <v>0</v>
      </c>
      <c r="H35" s="441">
        <v>0</v>
      </c>
      <c r="I35" s="441">
        <v>0</v>
      </c>
      <c r="J35" s="441">
        <v>0</v>
      </c>
      <c r="K35" s="441">
        <v>0</v>
      </c>
      <c r="L35" s="671">
        <f>0</f>
        <v>0</v>
      </c>
      <c r="M35" s="671">
        <f>SUM(L36:L36)</f>
        <v>36.190000000000005</v>
      </c>
      <c r="N35" s="214">
        <f>7185*V35</f>
        <v>7185</v>
      </c>
      <c r="O35" s="214">
        <f>0*V35</f>
        <v>0</v>
      </c>
      <c r="P35" s="214">
        <f>148500*W35</f>
        <v>148500</v>
      </c>
      <c r="Q35" s="214">
        <f>69677.74*X35</f>
        <v>69677.740000000005</v>
      </c>
      <c r="R35" s="214">
        <f>M35*N35</f>
        <v>260025.15000000002</v>
      </c>
      <c r="S35" s="214">
        <f>M35*O35</f>
        <v>0</v>
      </c>
      <c r="T35" s="214">
        <f>M35*P35</f>
        <v>5374215.0000000009</v>
      </c>
      <c r="U35" s="214">
        <f>M35*Q35</f>
        <v>2521637.4106000005</v>
      </c>
      <c r="V35" s="813">
        <v>1</v>
      </c>
      <c r="W35" s="813">
        <v>1</v>
      </c>
      <c r="X35" s="813">
        <v>1</v>
      </c>
      <c r="Y35" s="409"/>
      <c r="Z35" s="409"/>
      <c r="AA35" s="409"/>
    </row>
    <row r="36" spans="1:28" x14ac:dyDescent="0.25">
      <c r="A36" s="129"/>
      <c r="B36" s="198"/>
      <c r="C36" s="129"/>
      <c r="D36" s="644" t="s">
        <v>908</v>
      </c>
      <c r="E36" s="198"/>
      <c r="F36" s="129"/>
      <c r="G36" s="671">
        <v>0</v>
      </c>
      <c r="H36" s="671">
        <v>0</v>
      </c>
      <c r="I36" s="671">
        <v>0</v>
      </c>
      <c r="J36" s="671">
        <v>0</v>
      </c>
      <c r="K36" s="671">
        <v>0</v>
      </c>
      <c r="L36" s="671">
        <f>517/5*3.5/10</f>
        <v>36.190000000000005</v>
      </c>
      <c r="M36" s="671"/>
      <c r="N36" s="430"/>
      <c r="O36" s="430"/>
      <c r="P36" s="430"/>
      <c r="Q36" s="430"/>
      <c r="R36" s="430"/>
      <c r="S36" s="430"/>
      <c r="T36" s="430"/>
      <c r="U36" s="430"/>
      <c r="V36" s="129">
        <v>1</v>
      </c>
      <c r="W36" s="129">
        <v>1</v>
      </c>
      <c r="X36" s="129">
        <v>1</v>
      </c>
      <c r="Y36" s="409"/>
      <c r="Z36" s="409"/>
      <c r="AA36" s="409"/>
    </row>
    <row r="37" spans="1:28" ht="30" x14ac:dyDescent="0.25">
      <c r="A37" s="382"/>
      <c r="B37" s="439">
        <v>18</v>
      </c>
      <c r="C37" s="382" t="s">
        <v>172</v>
      </c>
      <c r="D37" s="859" t="s">
        <v>906</v>
      </c>
      <c r="E37" s="439" t="s">
        <v>1258</v>
      </c>
      <c r="F37" s="382"/>
      <c r="G37" s="893">
        <v>0</v>
      </c>
      <c r="H37" s="893">
        <v>0</v>
      </c>
      <c r="I37" s="893">
        <v>0</v>
      </c>
      <c r="J37" s="893">
        <v>0</v>
      </c>
      <c r="K37" s="893">
        <v>0</v>
      </c>
      <c r="L37" s="671">
        <f>0</f>
        <v>0</v>
      </c>
      <c r="M37" s="671">
        <f>SUM(L38:L38)</f>
        <v>1859.5</v>
      </c>
      <c r="N37" s="686">
        <f>5000*V37</f>
        <v>5000</v>
      </c>
      <c r="O37" s="686">
        <f>0</f>
        <v>0</v>
      </c>
      <c r="P37" s="686">
        <f>12000*W37</f>
        <v>12000</v>
      </c>
      <c r="Q37" s="686">
        <f>0</f>
        <v>0</v>
      </c>
      <c r="R37" s="686">
        <f>M37*N37</f>
        <v>9297500</v>
      </c>
      <c r="S37" s="686">
        <f>M37*O37</f>
        <v>0</v>
      </c>
      <c r="T37" s="686">
        <f>M37*P37</f>
        <v>22314000</v>
      </c>
      <c r="U37" s="686">
        <f>M37*Q37</f>
        <v>0</v>
      </c>
      <c r="V37" s="382">
        <v>1</v>
      </c>
      <c r="W37" s="382">
        <v>1</v>
      </c>
      <c r="X37" s="382">
        <v>1</v>
      </c>
      <c r="Y37" s="409"/>
      <c r="Z37" s="409"/>
      <c r="AA37" s="409"/>
      <c r="AB37" s="896" t="s">
        <v>924</v>
      </c>
    </row>
    <row r="38" spans="1:28" x14ac:dyDescent="0.25">
      <c r="A38" s="129"/>
      <c r="B38" s="198"/>
      <c r="C38" s="129"/>
      <c r="D38" s="644" t="s">
        <v>723</v>
      </c>
      <c r="E38" s="198"/>
      <c r="F38" s="129"/>
      <c r="G38" s="671">
        <v>0</v>
      </c>
      <c r="H38" s="671">
        <v>0</v>
      </c>
      <c r="I38" s="671">
        <v>0</v>
      </c>
      <c r="J38" s="671">
        <v>0</v>
      </c>
      <c r="K38" s="671">
        <v>0</v>
      </c>
      <c r="L38" s="671">
        <f>517*3.5+50</f>
        <v>1859.5</v>
      </c>
      <c r="M38" s="671"/>
      <c r="N38" s="430"/>
      <c r="O38" s="430"/>
      <c r="P38" s="430"/>
      <c r="Q38" s="430"/>
      <c r="R38" s="430"/>
      <c r="S38" s="430"/>
      <c r="T38" s="430"/>
      <c r="U38" s="430"/>
      <c r="V38" s="129">
        <v>1</v>
      </c>
      <c r="W38" s="129">
        <v>1</v>
      </c>
      <c r="X38" s="129">
        <v>1</v>
      </c>
      <c r="Y38" s="409"/>
      <c r="Z38" s="409"/>
      <c r="AA38" s="409"/>
    </row>
    <row r="39" spans="1:28" x14ac:dyDescent="0.25">
      <c r="A39" s="252"/>
      <c r="B39" s="551"/>
      <c r="C39" s="482"/>
      <c r="D39" s="1088" t="s">
        <v>574</v>
      </c>
      <c r="E39" s="1089"/>
      <c r="F39" s="1088"/>
      <c r="G39" s="1090"/>
      <c r="H39" s="1090"/>
      <c r="I39" s="1090"/>
      <c r="J39" s="1090"/>
      <c r="K39" s="1090"/>
      <c r="L39" s="1091"/>
      <c r="M39" s="1091"/>
      <c r="N39" s="1092"/>
      <c r="O39" s="1092"/>
      <c r="P39" s="1092"/>
      <c r="Q39" s="1092"/>
      <c r="R39" s="779">
        <f>SUMIF(B40:B47,"&gt;0",R40:R47)</f>
        <v>35657490</v>
      </c>
      <c r="S39" s="779">
        <f>SUMIF(B40:B47,"&gt;0",S40:S47)</f>
        <v>0</v>
      </c>
      <c r="T39" s="779">
        <f>SUMIF(B40:B47,"&gt;0",T40:T47)</f>
        <v>14597585.176031999</v>
      </c>
      <c r="U39" s="779">
        <f>SUMIF(B40:B47,"&gt;0",U40:U47)</f>
        <v>7885486.6400000006</v>
      </c>
      <c r="V39" s="482"/>
      <c r="W39" s="482"/>
      <c r="X39" s="482"/>
      <c r="Y39" s="409"/>
      <c r="Z39" s="409"/>
      <c r="AA39" s="409"/>
    </row>
    <row r="40" spans="1:28" ht="45" x14ac:dyDescent="0.25">
      <c r="A40" s="813"/>
      <c r="B40" s="870">
        <v>19</v>
      </c>
      <c r="C40" s="813" t="s">
        <v>314</v>
      </c>
      <c r="D40" s="414" t="s">
        <v>989</v>
      </c>
      <c r="E40" s="870" t="s">
        <v>982</v>
      </c>
      <c r="F40" s="813"/>
      <c r="G40" s="441">
        <v>0</v>
      </c>
      <c r="H40" s="441">
        <v>0</v>
      </c>
      <c r="I40" s="441">
        <v>0</v>
      </c>
      <c r="J40" s="441">
        <v>0</v>
      </c>
      <c r="K40" s="441">
        <v>0</v>
      </c>
      <c r="L40" s="671">
        <f>0</f>
        <v>0</v>
      </c>
      <c r="M40" s="671">
        <f>SUM(L41:L41)</f>
        <v>0.41360000000000008</v>
      </c>
      <c r="N40" s="214">
        <f>0*V40</f>
        <v>0</v>
      </c>
      <c r="O40" s="214">
        <f>0*V40</f>
        <v>0</v>
      </c>
      <c r="P40" s="214">
        <f>1392283.62*W40</f>
        <v>1392283.62</v>
      </c>
      <c r="Q40" s="214">
        <f>2542400*X40</f>
        <v>2542400</v>
      </c>
      <c r="R40" s="214">
        <f>M40*N40</f>
        <v>0</v>
      </c>
      <c r="S40" s="214">
        <f>M40*O40</f>
        <v>0</v>
      </c>
      <c r="T40" s="214">
        <f>M40*P40</f>
        <v>575848.50523200014</v>
      </c>
      <c r="U40" s="214">
        <f>M40*Q40</f>
        <v>1051536.6400000001</v>
      </c>
      <c r="V40" s="813">
        <v>1</v>
      </c>
      <c r="W40" s="813">
        <v>1</v>
      </c>
      <c r="X40" s="813">
        <v>1</v>
      </c>
      <c r="Y40" s="409"/>
      <c r="Z40" s="409"/>
      <c r="AA40" s="409"/>
      <c r="AB40" s="896" t="s">
        <v>76</v>
      </c>
    </row>
    <row r="41" spans="1:28" ht="45" x14ac:dyDescent="0.25">
      <c r="A41" s="129"/>
      <c r="B41" s="198"/>
      <c r="C41" s="129"/>
      <c r="D41" s="644" t="s">
        <v>238</v>
      </c>
      <c r="E41" s="198"/>
      <c r="F41" s="129"/>
      <c r="G41" s="671">
        <v>0</v>
      </c>
      <c r="H41" s="671">
        <v>0</v>
      </c>
      <c r="I41" s="671">
        <v>0</v>
      </c>
      <c r="J41" s="671">
        <v>0</v>
      </c>
      <c r="K41" s="671">
        <v>0</v>
      </c>
      <c r="L41" s="671">
        <f>517*((0.3+0.5)*0.2/2)/100</f>
        <v>0.41360000000000008</v>
      </c>
      <c r="M41" s="671"/>
      <c r="N41" s="430"/>
      <c r="O41" s="430"/>
      <c r="P41" s="430"/>
      <c r="Q41" s="430"/>
      <c r="R41" s="430"/>
      <c r="S41" s="430"/>
      <c r="T41" s="430"/>
      <c r="U41" s="430"/>
      <c r="V41" s="129">
        <v>1</v>
      </c>
      <c r="W41" s="129">
        <v>1</v>
      </c>
      <c r="X41" s="129">
        <v>1</v>
      </c>
      <c r="Y41" s="409"/>
      <c r="Z41" s="409"/>
      <c r="AA41" s="409"/>
    </row>
    <row r="42" spans="1:28" ht="60" x14ac:dyDescent="0.25">
      <c r="A42" s="813"/>
      <c r="B42" s="870">
        <v>20</v>
      </c>
      <c r="C42" s="813" t="s">
        <v>80</v>
      </c>
      <c r="D42" s="414" t="s">
        <v>376</v>
      </c>
      <c r="E42" s="870" t="s">
        <v>391</v>
      </c>
      <c r="F42" s="813"/>
      <c r="G42" s="441">
        <v>0</v>
      </c>
      <c r="H42" s="441">
        <v>0</v>
      </c>
      <c r="I42" s="441">
        <v>0</v>
      </c>
      <c r="J42" s="441">
        <v>0</v>
      </c>
      <c r="K42" s="441">
        <v>0</v>
      </c>
      <c r="L42" s="671">
        <f>0</f>
        <v>0</v>
      </c>
      <c r="M42" s="671">
        <f>SUM(L43:L43)</f>
        <v>17.13</v>
      </c>
      <c r="N42" s="214">
        <f>0*V42</f>
        <v>0</v>
      </c>
      <c r="O42" s="214">
        <f>0*V42</f>
        <v>0</v>
      </c>
      <c r="P42" s="214">
        <f>370361.16*W42</f>
        <v>370361.16</v>
      </c>
      <c r="Q42" s="214">
        <f>0*X42</f>
        <v>0</v>
      </c>
      <c r="R42" s="214">
        <f>M42*N42</f>
        <v>0</v>
      </c>
      <c r="S42" s="214">
        <f>M42*O42</f>
        <v>0</v>
      </c>
      <c r="T42" s="214">
        <f>M42*P42</f>
        <v>6344286.6707999995</v>
      </c>
      <c r="U42" s="214">
        <f>M42*Q42</f>
        <v>0</v>
      </c>
      <c r="V42" s="813">
        <v>1</v>
      </c>
      <c r="W42" s="813">
        <v>1</v>
      </c>
      <c r="X42" s="813">
        <v>1</v>
      </c>
      <c r="Y42" s="409"/>
      <c r="Z42" s="409"/>
      <c r="AA42" s="409"/>
      <c r="AB42" s="896" t="s">
        <v>76</v>
      </c>
    </row>
    <row r="43" spans="1:28" ht="30" x14ac:dyDescent="0.25">
      <c r="A43" s="129"/>
      <c r="B43" s="198"/>
      <c r="C43" s="129"/>
      <c r="D43" s="644" t="s">
        <v>736</v>
      </c>
      <c r="E43" s="198"/>
      <c r="F43" s="129"/>
      <c r="G43" s="671">
        <v>0</v>
      </c>
      <c r="H43" s="671">
        <v>0</v>
      </c>
      <c r="I43" s="671">
        <v>0</v>
      </c>
      <c r="J43" s="671">
        <v>0</v>
      </c>
      <c r="K43" s="671">
        <v>0</v>
      </c>
      <c r="L43" s="671">
        <f>571*0.3*0.1</f>
        <v>17.13</v>
      </c>
      <c r="M43" s="671"/>
      <c r="N43" s="430"/>
      <c r="O43" s="430"/>
      <c r="P43" s="430"/>
      <c r="Q43" s="430"/>
      <c r="R43" s="430"/>
      <c r="S43" s="430"/>
      <c r="T43" s="430"/>
      <c r="U43" s="430"/>
      <c r="V43" s="129">
        <v>1</v>
      </c>
      <c r="W43" s="129">
        <v>1</v>
      </c>
      <c r="X43" s="129">
        <v>1</v>
      </c>
      <c r="Y43" s="409"/>
      <c r="Z43" s="409"/>
      <c r="AA43" s="409"/>
    </row>
    <row r="44" spans="1:28" x14ac:dyDescent="0.25">
      <c r="A44" s="382"/>
      <c r="B44" s="439">
        <v>21</v>
      </c>
      <c r="C44" s="382" t="s">
        <v>172</v>
      </c>
      <c r="D44" s="859" t="s">
        <v>711</v>
      </c>
      <c r="E44" s="439" t="s">
        <v>1272</v>
      </c>
      <c r="F44" s="382"/>
      <c r="G44" s="893">
        <v>0</v>
      </c>
      <c r="H44" s="893">
        <v>0</v>
      </c>
      <c r="I44" s="893">
        <v>0</v>
      </c>
      <c r="J44" s="893">
        <v>0</v>
      </c>
      <c r="K44" s="893">
        <v>0</v>
      </c>
      <c r="L44" s="671">
        <f t="shared" ref="L44:L45" si="19">0</f>
        <v>0</v>
      </c>
      <c r="M44" s="671">
        <v>1</v>
      </c>
      <c r="N44" s="686">
        <f t="shared" ref="N44:P44" si="20">0</f>
        <v>0</v>
      </c>
      <c r="O44" s="686">
        <f t="shared" si="20"/>
        <v>0</v>
      </c>
      <c r="P44" s="686">
        <f t="shared" si="20"/>
        <v>0</v>
      </c>
      <c r="Q44" s="686">
        <f>2000000*X44</f>
        <v>2000000</v>
      </c>
      <c r="R44" s="686">
        <f t="shared" ref="R44:R45" si="21">M44*N44</f>
        <v>0</v>
      </c>
      <c r="S44" s="686">
        <f t="shared" ref="S44:S45" si="22">M44*O44</f>
        <v>0</v>
      </c>
      <c r="T44" s="686">
        <f t="shared" ref="T44:T45" si="23">M44*P44</f>
        <v>0</v>
      </c>
      <c r="U44" s="686">
        <f t="shared" ref="U44:U45" si="24">M44*Q44</f>
        <v>2000000</v>
      </c>
      <c r="V44" s="382">
        <v>1</v>
      </c>
      <c r="W44" s="382">
        <v>1</v>
      </c>
      <c r="X44" s="382">
        <v>1</v>
      </c>
      <c r="Y44" s="409"/>
      <c r="Z44" s="409"/>
      <c r="AA44" s="409"/>
      <c r="AB44" s="896" t="s">
        <v>924</v>
      </c>
    </row>
    <row r="45" spans="1:28" ht="30" x14ac:dyDescent="0.25">
      <c r="A45" s="813"/>
      <c r="B45" s="870">
        <v>22</v>
      </c>
      <c r="C45" s="813" t="s">
        <v>649</v>
      </c>
      <c r="D45" s="414" t="s">
        <v>602</v>
      </c>
      <c r="E45" s="870" t="s">
        <v>144</v>
      </c>
      <c r="F45" s="813"/>
      <c r="G45" s="441">
        <v>0</v>
      </c>
      <c r="H45" s="441">
        <v>0</v>
      </c>
      <c r="I45" s="441">
        <v>0</v>
      </c>
      <c r="J45" s="441">
        <v>0</v>
      </c>
      <c r="K45" s="441">
        <v>0</v>
      </c>
      <c r="L45" s="671">
        <f t="shared" si="19"/>
        <v>0</v>
      </c>
      <c r="M45" s="671">
        <f>SUM(L46:L47)</f>
        <v>113.74000000000001</v>
      </c>
      <c r="N45" s="214">
        <f>313500*V45</f>
        <v>313500</v>
      </c>
      <c r="O45" s="214">
        <f>0*V45</f>
        <v>0</v>
      </c>
      <c r="P45" s="214">
        <f>67500*W45</f>
        <v>67500</v>
      </c>
      <c r="Q45" s="214">
        <f>42500*X45</f>
        <v>42500</v>
      </c>
      <c r="R45" s="214">
        <f t="shared" si="21"/>
        <v>35657490</v>
      </c>
      <c r="S45" s="214">
        <f t="shared" si="22"/>
        <v>0</v>
      </c>
      <c r="T45" s="214">
        <f t="shared" si="23"/>
        <v>7677450.0000000009</v>
      </c>
      <c r="U45" s="214">
        <f t="shared" si="24"/>
        <v>4833950</v>
      </c>
      <c r="V45" s="813">
        <v>1</v>
      </c>
      <c r="W45" s="813">
        <v>1</v>
      </c>
      <c r="X45" s="813">
        <v>1</v>
      </c>
      <c r="Y45" s="409"/>
      <c r="Z45" s="409"/>
      <c r="AA45" s="409"/>
      <c r="AB45" s="896" t="s">
        <v>233</v>
      </c>
    </row>
    <row r="46" spans="1:28" x14ac:dyDescent="0.25">
      <c r="A46" s="129"/>
      <c r="B46" s="198"/>
      <c r="C46" s="129"/>
      <c r="D46" s="644" t="s">
        <v>489</v>
      </c>
      <c r="E46" s="198"/>
      <c r="F46" s="129"/>
      <c r="G46" s="671">
        <v>0</v>
      </c>
      <c r="H46" s="671">
        <v>0</v>
      </c>
      <c r="I46" s="671">
        <v>0</v>
      </c>
      <c r="J46" s="671">
        <v>0</v>
      </c>
      <c r="K46" s="671">
        <v>0</v>
      </c>
      <c r="L46" s="671">
        <f>517*0.55*0.2*2</f>
        <v>113.74000000000001</v>
      </c>
      <c r="M46" s="671"/>
      <c r="N46" s="430"/>
      <c r="O46" s="430"/>
      <c r="P46" s="430"/>
      <c r="Q46" s="430"/>
      <c r="R46" s="430"/>
      <c r="S46" s="430"/>
      <c r="T46" s="430"/>
      <c r="U46" s="430"/>
      <c r="V46" s="129">
        <v>1</v>
      </c>
      <c r="W46" s="129">
        <v>1</v>
      </c>
      <c r="X46" s="129">
        <v>1</v>
      </c>
      <c r="Y46" s="409"/>
      <c r="Z46" s="409"/>
      <c r="AA46" s="409"/>
    </row>
    <row r="47" spans="1:28" x14ac:dyDescent="0.25">
      <c r="A47" s="129"/>
      <c r="B47" s="198"/>
      <c r="C47" s="129"/>
      <c r="D47" s="644"/>
      <c r="E47" s="198"/>
      <c r="F47" s="129"/>
      <c r="G47" s="671">
        <v>0</v>
      </c>
      <c r="H47" s="671">
        <v>0</v>
      </c>
      <c r="I47" s="671">
        <v>0</v>
      </c>
      <c r="J47" s="671">
        <v>0</v>
      </c>
      <c r="K47" s="671">
        <v>0</v>
      </c>
      <c r="L47" s="671">
        <f>0</f>
        <v>0</v>
      </c>
      <c r="M47" s="671"/>
      <c r="N47" s="430"/>
      <c r="O47" s="430"/>
      <c r="P47" s="430"/>
      <c r="Q47" s="430"/>
      <c r="R47" s="430"/>
      <c r="S47" s="430"/>
      <c r="T47" s="430"/>
      <c r="U47" s="430"/>
      <c r="V47" s="129">
        <v>1</v>
      </c>
      <c r="W47" s="129">
        <v>1</v>
      </c>
      <c r="X47" s="129">
        <v>1</v>
      </c>
      <c r="Y47" s="409"/>
      <c r="Z47" s="409"/>
      <c r="AA47" s="409"/>
    </row>
    <row r="48" spans="1:28" x14ac:dyDescent="0.25">
      <c r="A48" s="437"/>
      <c r="B48" s="277"/>
      <c r="C48" s="261" t="s">
        <v>1217</v>
      </c>
      <c r="D48" s="1093" t="s">
        <v>911</v>
      </c>
      <c r="E48" s="1094"/>
      <c r="F48" s="1093"/>
      <c r="G48" s="1095"/>
      <c r="H48" s="1095"/>
      <c r="I48" s="1095"/>
      <c r="J48" s="1095"/>
      <c r="K48" s="1095"/>
      <c r="L48" s="1093"/>
      <c r="M48" s="1093"/>
      <c r="N48" s="1096"/>
      <c r="O48" s="1096"/>
      <c r="P48" s="1096"/>
      <c r="Q48" s="1096"/>
      <c r="R48" s="14">
        <f>SUMIF(B7:B47,"&gt;0",R7:R47)</f>
        <v>437151735.0949375</v>
      </c>
      <c r="S48" s="14">
        <f>SUMIF(B7:B47,"&gt;0",S7:S47)</f>
        <v>0</v>
      </c>
      <c r="T48" s="14">
        <f>SUMIF(B7:B47,"&gt;0",T7:T47)</f>
        <v>198995725.92345601</v>
      </c>
      <c r="U48" s="14">
        <f>SUMIF(B7:B47,"&gt;0",U7:U47)</f>
        <v>79646596.130557612</v>
      </c>
      <c r="V48" s="261"/>
      <c r="W48" s="261"/>
      <c r="X48" s="261"/>
      <c r="Y48" s="874"/>
      <c r="Z48" s="874"/>
      <c r="AA48" s="874"/>
    </row>
    <row r="49" spans="2:27" x14ac:dyDescent="0.25">
      <c r="B49" s="874"/>
      <c r="C49" s="874"/>
      <c r="D49" s="874"/>
      <c r="E49" s="874"/>
      <c r="F49" s="874"/>
      <c r="G49" s="874"/>
      <c r="H49" s="874"/>
      <c r="I49" s="874"/>
      <c r="J49" s="874"/>
      <c r="K49" s="874"/>
      <c r="L49" s="874"/>
      <c r="M49" s="874"/>
      <c r="N49" s="281"/>
      <c r="O49" s="281"/>
      <c r="P49" s="281"/>
      <c r="Q49" s="281"/>
      <c r="R49" s="281"/>
      <c r="S49" s="281"/>
      <c r="T49" s="281"/>
      <c r="U49" s="281"/>
      <c r="V49" s="874"/>
      <c r="W49" s="874"/>
      <c r="X49" s="874"/>
      <c r="Y49" s="874"/>
      <c r="Z49" s="874"/>
      <c r="AA49" s="874"/>
    </row>
    <row r="50" spans="2:27" x14ac:dyDescent="0.25">
      <c r="B50" s="874"/>
      <c r="C50" s="874"/>
      <c r="D50" s="874"/>
      <c r="E50" s="874"/>
      <c r="F50" s="874"/>
      <c r="G50" s="874"/>
      <c r="H50" s="874"/>
      <c r="I50" s="874"/>
      <c r="J50" s="874"/>
      <c r="K50" s="874"/>
      <c r="L50" s="874"/>
      <c r="M50" s="874"/>
      <c r="N50" s="874"/>
      <c r="O50" s="874"/>
      <c r="P50" s="874"/>
      <c r="Q50" s="874"/>
      <c r="R50" s="874"/>
      <c r="S50" s="874"/>
      <c r="T50" s="874"/>
      <c r="U50" s="874"/>
      <c r="V50" s="874"/>
      <c r="W50" s="874"/>
      <c r="X50" s="874"/>
      <c r="Y50" s="874"/>
      <c r="Z50" s="874"/>
      <c r="AA50" s="874"/>
    </row>
  </sheetData>
  <mergeCells count="18">
    <mergeCell ref="D6:Q6"/>
    <mergeCell ref="D7:Q7"/>
    <mergeCell ref="D26:Q26"/>
    <mergeCell ref="D39:Q39"/>
    <mergeCell ref="D48:Q48"/>
    <mergeCell ref="B1:X1"/>
    <mergeCell ref="B2:X2"/>
    <mergeCell ref="A4:A5"/>
    <mergeCell ref="B4:B5"/>
    <mergeCell ref="C4:C5"/>
    <mergeCell ref="D4:D5"/>
    <mergeCell ref="E4:E5"/>
    <mergeCell ref="F4:K4"/>
    <mergeCell ref="L4:L5"/>
    <mergeCell ref="M4:M5"/>
    <mergeCell ref="N4:Q4"/>
    <mergeCell ref="R4:U4"/>
    <mergeCell ref="V4:X4"/>
  </mergeCells>
  <conditionalFormatting sqref="V6:X6">
    <cfRule type="cellIs" dxfId="16" priority="1" stopIfTrue="1" operator="equal">
      <formula>1</formula>
    </cfRule>
  </conditionalFormatting>
  <conditionalFormatting sqref="V7:X49">
    <cfRule type="cellIs" dxfId="15" priority="2" stopIfTrue="1" operator="equal">
      <formula>1</formula>
    </cfRule>
  </conditionalFormatting>
  <pageMargins left="0.75" right="0.46" top="0.79" bottom="0.79" header="0.3" footer="0.3"/>
  <pageSetup paperSize="9" scale="85" orientation="landscape" useFirstPageNumber="1" r:id="rId1"/>
  <headerFooter>
    <oddFooter>&amp;CTrang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7"/>
  </sheetPr>
  <dimension ref="A1:AH32"/>
  <sheetViews>
    <sheetView showZeros="0" topLeftCell="B1" workbookViewId="0">
      <selection activeCell="E6" sqref="E6"/>
    </sheetView>
  </sheetViews>
  <sheetFormatPr defaultColWidth="9.140625" defaultRowHeight="15" x14ac:dyDescent="0.25"/>
  <cols>
    <col min="1" max="1" width="7.28515625" style="794" customWidth="1"/>
    <col min="2" max="2" width="4.7109375" style="794" bestFit="1" customWidth="1"/>
    <col min="3" max="3" width="8.140625" style="794" bestFit="1" customWidth="1"/>
    <col min="4" max="4" width="10.28515625" style="794" hidden="1" customWidth="1"/>
    <col min="5" max="5" width="46.7109375" style="794" customWidth="1"/>
    <col min="6" max="6" width="12.7109375" style="794" customWidth="1"/>
    <col min="7" max="7" width="9.140625" style="794" hidden="1" customWidth="1"/>
    <col min="8" max="8" width="10" style="794" hidden="1" customWidth="1"/>
    <col min="9" max="9" width="6.5703125" style="794" hidden="1" customWidth="1"/>
    <col min="10" max="10" width="16.28515625" style="794" customWidth="1"/>
    <col min="11" max="11" width="14.42578125" style="794" hidden="1" customWidth="1"/>
    <col min="12" max="12" width="13.28515625" style="794" hidden="1" customWidth="1"/>
    <col min="13" max="13" width="7.5703125" style="794" hidden="1" customWidth="1"/>
    <col min="14" max="14" width="11" style="794" hidden="1" customWidth="1"/>
    <col min="15" max="15" width="11.5703125" style="794" hidden="1" customWidth="1"/>
    <col min="16" max="16" width="11" style="794" hidden="1" customWidth="1"/>
    <col min="17" max="17" width="6.5703125" style="794" hidden="1" customWidth="1"/>
    <col min="18" max="18" width="12.85546875" style="794" hidden="1" customWidth="1"/>
    <col min="19" max="19" width="11" style="794" hidden="1" customWidth="1"/>
    <col min="20" max="20" width="11.5703125" style="794" hidden="1" customWidth="1"/>
    <col min="21" max="21" width="12.42578125" style="794" hidden="1" customWidth="1"/>
    <col min="22" max="22" width="9.5703125" style="794" hidden="1" customWidth="1"/>
    <col min="23" max="23" width="11" style="794" hidden="1" customWidth="1"/>
    <col min="24" max="25" width="16.28515625" style="794" customWidth="1"/>
    <col min="26" max="26" width="12.5703125" style="794" hidden="1" customWidth="1"/>
    <col min="27" max="27" width="13.140625" style="794" hidden="1" customWidth="1"/>
    <col min="28" max="34" width="9.140625" style="794" hidden="1" customWidth="1"/>
    <col min="35" max="16384" width="9.140625" style="794"/>
  </cols>
  <sheetData>
    <row r="1" spans="1:27" ht="18.75" x14ac:dyDescent="0.3">
      <c r="A1" s="1081" t="s">
        <v>510</v>
      </c>
      <c r="B1" s="1081" t="s">
        <v>510</v>
      </c>
      <c r="C1" s="1081" t="s">
        <v>510</v>
      </c>
      <c r="D1" s="1081" t="s">
        <v>510</v>
      </c>
      <c r="E1" s="1081" t="s">
        <v>510</v>
      </c>
      <c r="F1" s="1081" t="s">
        <v>510</v>
      </c>
      <c r="G1" s="1081" t="s">
        <v>510</v>
      </c>
      <c r="H1" s="1081" t="s">
        <v>510</v>
      </c>
      <c r="I1" s="1081" t="s">
        <v>510</v>
      </c>
      <c r="J1" s="1081" t="s">
        <v>510</v>
      </c>
      <c r="K1" s="1081" t="s">
        <v>510</v>
      </c>
      <c r="L1" s="1081" t="s">
        <v>510</v>
      </c>
      <c r="M1" s="1081" t="s">
        <v>510</v>
      </c>
      <c r="N1" s="1081" t="s">
        <v>510</v>
      </c>
      <c r="O1" s="1081" t="s">
        <v>510</v>
      </c>
      <c r="P1" s="1081" t="s">
        <v>510</v>
      </c>
      <c r="Q1" s="1081" t="s">
        <v>510</v>
      </c>
      <c r="R1" s="1081" t="s">
        <v>510</v>
      </c>
      <c r="S1" s="1081" t="s">
        <v>510</v>
      </c>
      <c r="T1" s="1081" t="s">
        <v>510</v>
      </c>
      <c r="U1" s="1081" t="s">
        <v>510</v>
      </c>
      <c r="V1" s="1081" t="s">
        <v>510</v>
      </c>
      <c r="W1" s="1081" t="s">
        <v>510</v>
      </c>
      <c r="X1" s="1081" t="s">
        <v>510</v>
      </c>
      <c r="Y1" s="1081" t="s">
        <v>510</v>
      </c>
      <c r="Z1" s="1081" t="s">
        <v>510</v>
      </c>
      <c r="AA1" s="1081" t="s">
        <v>510</v>
      </c>
    </row>
    <row r="2" spans="1:27" x14ac:dyDescent="0.25">
      <c r="A2" s="1082" t="s">
        <v>194</v>
      </c>
      <c r="B2" s="1082" t="s">
        <v>194</v>
      </c>
      <c r="C2" s="1082" t="s">
        <v>194</v>
      </c>
      <c r="D2" s="1082" t="s">
        <v>194</v>
      </c>
      <c r="E2" s="1082" t="s">
        <v>194</v>
      </c>
      <c r="F2" s="1082" t="s">
        <v>194</v>
      </c>
      <c r="G2" s="1082" t="s">
        <v>194</v>
      </c>
      <c r="H2" s="1082" t="s">
        <v>194</v>
      </c>
      <c r="I2" s="1082" t="s">
        <v>194</v>
      </c>
      <c r="J2" s="1082" t="s">
        <v>194</v>
      </c>
      <c r="K2" s="1082" t="s">
        <v>194</v>
      </c>
      <c r="L2" s="1082" t="s">
        <v>194</v>
      </c>
      <c r="M2" s="1082" t="s">
        <v>194</v>
      </c>
      <c r="N2" s="1082" t="s">
        <v>194</v>
      </c>
      <c r="O2" s="1082" t="s">
        <v>194</v>
      </c>
      <c r="P2" s="1082" t="s">
        <v>194</v>
      </c>
      <c r="Q2" s="1082" t="s">
        <v>194</v>
      </c>
      <c r="R2" s="1082" t="s">
        <v>194</v>
      </c>
      <c r="S2" s="1082" t="s">
        <v>194</v>
      </c>
      <c r="T2" s="1082" t="s">
        <v>194</v>
      </c>
      <c r="U2" s="1082" t="s">
        <v>194</v>
      </c>
      <c r="V2" s="1082" t="s">
        <v>194</v>
      </c>
      <c r="W2" s="1082" t="s">
        <v>194</v>
      </c>
      <c r="X2" s="1082" t="s">
        <v>194</v>
      </c>
      <c r="Y2" s="1082" t="s">
        <v>194</v>
      </c>
      <c r="Z2" s="1082" t="s">
        <v>194</v>
      </c>
      <c r="AA2" s="1082" t="s">
        <v>194</v>
      </c>
    </row>
    <row r="3" spans="1:27" ht="13.5" customHeight="1" x14ac:dyDescent="0.25">
      <c r="A3" s="1099" t="s">
        <v>914</v>
      </c>
      <c r="B3" s="1099" t="s">
        <v>914</v>
      </c>
      <c r="C3" s="1099" t="s">
        <v>914</v>
      </c>
      <c r="D3" s="1099" t="s">
        <v>914</v>
      </c>
      <c r="E3" s="1099" t="s">
        <v>914</v>
      </c>
      <c r="F3" s="1099" t="s">
        <v>914</v>
      </c>
      <c r="G3" s="1099" t="s">
        <v>914</v>
      </c>
      <c r="H3" s="1099" t="s">
        <v>914</v>
      </c>
      <c r="I3" s="1099" t="s">
        <v>914</v>
      </c>
      <c r="J3" s="1099" t="s">
        <v>914</v>
      </c>
      <c r="K3" s="1099" t="s">
        <v>914</v>
      </c>
      <c r="L3" s="1099" t="s">
        <v>914</v>
      </c>
      <c r="M3" s="1099" t="s">
        <v>914</v>
      </c>
      <c r="N3" s="1099" t="s">
        <v>914</v>
      </c>
      <c r="O3" s="1099" t="s">
        <v>914</v>
      </c>
      <c r="P3" s="1099" t="s">
        <v>914</v>
      </c>
      <c r="Q3" s="1099" t="s">
        <v>914</v>
      </c>
      <c r="R3" s="1099" t="s">
        <v>914</v>
      </c>
      <c r="S3" s="1099" t="s">
        <v>914</v>
      </c>
      <c r="T3" s="1099" t="s">
        <v>914</v>
      </c>
      <c r="U3" s="1099" t="s">
        <v>914</v>
      </c>
      <c r="V3" s="1099" t="s">
        <v>914</v>
      </c>
      <c r="W3" s="1099" t="s">
        <v>914</v>
      </c>
      <c r="X3" s="1099" t="s">
        <v>914</v>
      </c>
      <c r="Y3" s="1099" t="s">
        <v>914</v>
      </c>
      <c r="Z3" s="1099" t="s">
        <v>914</v>
      </c>
      <c r="AA3" s="1099" t="s">
        <v>914</v>
      </c>
    </row>
    <row r="4" spans="1:27" x14ac:dyDescent="0.25">
      <c r="A4" s="347"/>
      <c r="B4" s="1084" t="s">
        <v>1323</v>
      </c>
      <c r="C4" s="1084" t="s">
        <v>876</v>
      </c>
      <c r="D4" s="288"/>
      <c r="E4" s="1084" t="s">
        <v>560</v>
      </c>
      <c r="F4" s="1084" t="s">
        <v>1448</v>
      </c>
      <c r="G4" s="1084" t="s">
        <v>947</v>
      </c>
      <c r="H4" s="1084" t="s">
        <v>1079</v>
      </c>
      <c r="I4" s="1084" t="s">
        <v>860</v>
      </c>
      <c r="J4" s="1084" t="s">
        <v>1091</v>
      </c>
      <c r="K4" s="1084" t="s">
        <v>1446</v>
      </c>
      <c r="L4" s="1084" t="s">
        <v>898</v>
      </c>
      <c r="M4" s="1084" t="s">
        <v>1313</v>
      </c>
      <c r="N4" s="1084" t="s">
        <v>898</v>
      </c>
      <c r="O4" s="1084" t="s">
        <v>452</v>
      </c>
      <c r="P4" s="1084" t="s">
        <v>898</v>
      </c>
      <c r="Q4" s="1084" t="s">
        <v>860</v>
      </c>
      <c r="R4" s="1084" t="s">
        <v>965</v>
      </c>
      <c r="S4" s="1084" t="s">
        <v>898</v>
      </c>
      <c r="T4" s="1084" t="s">
        <v>452</v>
      </c>
      <c r="U4" s="1084" t="s">
        <v>898</v>
      </c>
      <c r="V4" s="1084" t="s">
        <v>946</v>
      </c>
      <c r="W4" s="1084" t="s">
        <v>898</v>
      </c>
      <c r="X4" s="1084" t="s">
        <v>1192</v>
      </c>
      <c r="Y4" s="1084" t="s">
        <v>898</v>
      </c>
      <c r="Z4" s="1084" t="s">
        <v>452</v>
      </c>
      <c r="AA4" s="1084" t="s">
        <v>898</v>
      </c>
    </row>
    <row r="5" spans="1:27" ht="7.15" customHeight="1" x14ac:dyDescent="0.25">
      <c r="A5" s="347"/>
      <c r="B5" s="1084"/>
      <c r="C5" s="1084"/>
      <c r="D5" s="288"/>
      <c r="E5" s="1084"/>
      <c r="F5" s="1084"/>
      <c r="G5" s="1084" t="s">
        <v>947</v>
      </c>
      <c r="H5" s="1084" t="s">
        <v>1079</v>
      </c>
      <c r="I5" s="1084" t="s">
        <v>860</v>
      </c>
      <c r="J5" s="1084" t="s">
        <v>1091</v>
      </c>
      <c r="K5" s="1084"/>
      <c r="L5" s="1084"/>
      <c r="M5" s="1084"/>
      <c r="N5" s="1084"/>
      <c r="O5" s="1084"/>
      <c r="P5" s="1084"/>
      <c r="Q5" s="1084"/>
      <c r="R5" s="1084"/>
      <c r="S5" s="1084"/>
      <c r="T5" s="1084"/>
      <c r="U5" s="1084"/>
      <c r="V5" s="1084"/>
      <c r="W5" s="1084"/>
      <c r="X5" s="1084"/>
      <c r="Y5" s="1084"/>
      <c r="Z5" s="1084"/>
      <c r="AA5" s="1084"/>
    </row>
    <row r="6" spans="1:27" x14ac:dyDescent="0.25">
      <c r="A6" s="851" t="s">
        <v>1293</v>
      </c>
      <c r="B6" s="110">
        <v>1</v>
      </c>
      <c r="C6" s="45" t="s">
        <v>591</v>
      </c>
      <c r="D6" s="45">
        <f>'Giá NC'!D5</f>
        <v>0</v>
      </c>
      <c r="E6" s="554" t="str">
        <f>'Giá NC'!E5</f>
        <v>Nhân công bậc 3,0/7 - Nhóm 1</v>
      </c>
      <c r="F6" s="110" t="s">
        <v>239</v>
      </c>
      <c r="G6" s="590"/>
      <c r="H6" s="590"/>
      <c r="I6" s="590"/>
      <c r="J6" s="590">
        <f>SUM(J7:J11)</f>
        <v>57.928791999999994</v>
      </c>
      <c r="K6" s="636">
        <f>'Giá NC'!G5</f>
        <v>228618</v>
      </c>
      <c r="L6" s="636">
        <f>J6*K6</f>
        <v>13243564.569455998</v>
      </c>
      <c r="M6" s="636">
        <f>'Giá NC'!H5</f>
        <v>228618</v>
      </c>
      <c r="N6" s="636">
        <f>J6*M6</f>
        <v>13243564.569455998</v>
      </c>
      <c r="O6" s="636">
        <f>M6-K6</f>
        <v>0</v>
      </c>
      <c r="P6" s="636">
        <f>J6*O6</f>
        <v>0</v>
      </c>
      <c r="Q6" s="636">
        <v>1</v>
      </c>
      <c r="R6" s="636">
        <f>M6*Q6</f>
        <v>228618</v>
      </c>
      <c r="S6" s="636">
        <f>J6*R6</f>
        <v>13243564.569455998</v>
      </c>
      <c r="T6" s="636">
        <v>0</v>
      </c>
      <c r="U6" s="636">
        <v>0</v>
      </c>
      <c r="V6" s="636">
        <v>0</v>
      </c>
      <c r="W6" s="636">
        <v>0</v>
      </c>
      <c r="X6" s="636">
        <f>'Giá NC'!K5</f>
        <v>228618</v>
      </c>
      <c r="Y6" s="636">
        <f>J6*X6</f>
        <v>13243564.569455998</v>
      </c>
      <c r="Z6" s="636">
        <f>X6-K6</f>
        <v>0</v>
      </c>
      <c r="AA6" s="636">
        <f>J6*Z6</f>
        <v>0</v>
      </c>
    </row>
    <row r="7" spans="1:27" s="379" customFormat="1" ht="30" hidden="1" x14ac:dyDescent="0.25">
      <c r="A7" s="739">
        <f>'Tiên lượng'!A8</f>
        <v>0</v>
      </c>
      <c r="B7" s="91"/>
      <c r="C7" s="30" t="str">
        <f>'Tiên lượng'!C8</f>
        <v>SA.12112</v>
      </c>
      <c r="D7" s="30"/>
      <c r="E7" s="538" t="str">
        <f>'Tiên lượng'!D8</f>
        <v>Phá dỡ kết cấu bê tông không cốt thép bằng búa căn. (Bê tông mặt đường cũ)</v>
      </c>
      <c r="F7" s="91" t="str">
        <f>'Tiên lượng'!E8</f>
        <v>m3</v>
      </c>
      <c r="G7" s="573">
        <f>'Tiên lượng'!M8</f>
        <v>40.799999999999997</v>
      </c>
      <c r="H7" s="573">
        <f>PTVT!G8</f>
        <v>0.57999999999999996</v>
      </c>
      <c r="I7" s="573">
        <f>'Tiên lượng'!W8</f>
        <v>1</v>
      </c>
      <c r="J7" s="573">
        <f t="shared" ref="J7:J11" si="0">PRODUCT(G7,H7,I7)</f>
        <v>23.663999999999998</v>
      </c>
      <c r="K7" s="229"/>
      <c r="L7" s="229"/>
      <c r="M7" s="229"/>
      <c r="N7" s="229"/>
      <c r="O7" s="229"/>
      <c r="P7" s="229"/>
      <c r="Q7" s="229"/>
      <c r="R7" s="229"/>
      <c r="S7" s="229"/>
      <c r="T7" s="229"/>
      <c r="U7" s="229"/>
      <c r="V7" s="229"/>
      <c r="W7" s="229"/>
      <c r="X7" s="229"/>
      <c r="Y7" s="229"/>
      <c r="Z7" s="229"/>
      <c r="AA7" s="229">
        <f>J7*Z6</f>
        <v>0</v>
      </c>
    </row>
    <row r="8" spans="1:27" s="379" customFormat="1" ht="30" hidden="1" x14ac:dyDescent="0.25">
      <c r="A8" s="739">
        <f>'Tiên lượng'!A10</f>
        <v>0</v>
      </c>
      <c r="B8" s="91"/>
      <c r="C8" s="30" t="str">
        <f>'Tiên lượng'!C10</f>
        <v>AB.55321</v>
      </c>
      <c r="D8" s="30"/>
      <c r="E8" s="538" t="str">
        <f>'Tiên lượng'!D10</f>
        <v>Xúc đá tảng, cục bê tông lên phương tiện vận chuyển bằng máy đào 3,6m3, ĐK 0,4÷1m</v>
      </c>
      <c r="F8" s="91" t="str">
        <f>'Tiên lượng'!E10</f>
        <v>100m3</v>
      </c>
      <c r="G8" s="573">
        <f>'Tiên lượng'!M10</f>
        <v>0.53039999999999998</v>
      </c>
      <c r="H8" s="573">
        <f>PTVT!G14</f>
        <v>0.67</v>
      </c>
      <c r="I8" s="573">
        <f>'Tiên lượng'!W10</f>
        <v>1</v>
      </c>
      <c r="J8" s="573">
        <f t="shared" si="0"/>
        <v>0.35536800000000002</v>
      </c>
      <c r="K8" s="229"/>
      <c r="L8" s="229"/>
      <c r="M8" s="229"/>
      <c r="N8" s="229"/>
      <c r="O8" s="229"/>
      <c r="P8" s="229"/>
      <c r="Q8" s="229"/>
      <c r="R8" s="229"/>
      <c r="S8" s="229"/>
      <c r="T8" s="229"/>
      <c r="U8" s="229"/>
      <c r="V8" s="229"/>
      <c r="W8" s="229"/>
      <c r="X8" s="229"/>
      <c r="Y8" s="229"/>
      <c r="Z8" s="229"/>
      <c r="AA8" s="229">
        <f>J8*Z6</f>
        <v>0</v>
      </c>
    </row>
    <row r="9" spans="1:27" s="379" customFormat="1" ht="45" hidden="1" x14ac:dyDescent="0.25">
      <c r="A9" s="739">
        <f>'Tiên lượng'!A15</f>
        <v>0</v>
      </c>
      <c r="B9" s="91"/>
      <c r="C9" s="30" t="str">
        <f>'Tiên lượng'!C15</f>
        <v>AB.31113</v>
      </c>
      <c r="D9" s="30"/>
      <c r="E9" s="538" t="str">
        <f>'Tiên lượng'!D15</f>
        <v>Đào nền đường bằng máy đào 0,4m3 - Cấp đất III (Bổ sung TT09/2024). Đào hạ nền đường trung bình 50cm, dài 50m</v>
      </c>
      <c r="F9" s="91" t="str">
        <f>'Tiên lượng'!E15</f>
        <v>100m3</v>
      </c>
      <c r="G9" s="573">
        <f>'Tiên lượng'!M15</f>
        <v>0.875</v>
      </c>
      <c r="H9" s="573">
        <f>PTVT!G36</f>
        <v>4.16</v>
      </c>
      <c r="I9" s="573">
        <f>'Tiên lượng'!W15</f>
        <v>1</v>
      </c>
      <c r="J9" s="573">
        <f t="shared" si="0"/>
        <v>3.64</v>
      </c>
      <c r="K9" s="229"/>
      <c r="L9" s="229"/>
      <c r="M9" s="229"/>
      <c r="N9" s="229"/>
      <c r="O9" s="229"/>
      <c r="P9" s="229"/>
      <c r="Q9" s="229"/>
      <c r="R9" s="229"/>
      <c r="S9" s="229"/>
      <c r="T9" s="229"/>
      <c r="U9" s="229"/>
      <c r="V9" s="229"/>
      <c r="W9" s="229"/>
      <c r="X9" s="229"/>
      <c r="Y9" s="229"/>
      <c r="Z9" s="229"/>
      <c r="AA9" s="229">
        <f>J9*Z6</f>
        <v>0</v>
      </c>
    </row>
    <row r="10" spans="1:27" s="379" customFormat="1" ht="30" hidden="1" x14ac:dyDescent="0.25">
      <c r="A10" s="739">
        <f>'Tiên lượng'!A40</f>
        <v>0</v>
      </c>
      <c r="B10" s="91"/>
      <c r="C10" s="30" t="str">
        <f>'Tiên lượng'!C40</f>
        <v>AB.27103</v>
      </c>
      <c r="D10" s="30"/>
      <c r="E10" s="538" t="str">
        <f>'Tiên lượng'!D40</f>
        <v>Đào kênh mương, chiều rộng kênh mương ≤6m bằng máy đào 0,4m3 - Cấp đất III</v>
      </c>
      <c r="F10" s="91" t="str">
        <f>'Tiên lượng'!E40</f>
        <v>100m3</v>
      </c>
      <c r="G10" s="573">
        <f>'Tiên lượng'!M40</f>
        <v>0.41360000000000008</v>
      </c>
      <c r="H10" s="573">
        <f>PTVT!G135</f>
        <v>6.09</v>
      </c>
      <c r="I10" s="573">
        <f>'Tiên lượng'!W40</f>
        <v>1</v>
      </c>
      <c r="J10" s="573">
        <f t="shared" si="0"/>
        <v>2.5188240000000004</v>
      </c>
      <c r="K10" s="229"/>
      <c r="L10" s="229"/>
      <c r="M10" s="229"/>
      <c r="N10" s="229"/>
      <c r="O10" s="229"/>
      <c r="P10" s="229"/>
      <c r="Q10" s="229"/>
      <c r="R10" s="229"/>
      <c r="S10" s="229"/>
      <c r="T10" s="229"/>
      <c r="U10" s="229"/>
      <c r="V10" s="229"/>
      <c r="W10" s="229"/>
      <c r="X10" s="229"/>
      <c r="Y10" s="229"/>
      <c r="Z10" s="229"/>
      <c r="AA10" s="229">
        <f>J10*Z6</f>
        <v>0</v>
      </c>
    </row>
    <row r="11" spans="1:27" s="379" customFormat="1" ht="45" hidden="1" x14ac:dyDescent="0.25">
      <c r="A11" s="739">
        <f>'Tiên lượng'!A42</f>
        <v>0</v>
      </c>
      <c r="B11" s="91"/>
      <c r="C11" s="30" t="str">
        <f>'Tiên lượng'!C42</f>
        <v>AB.11503</v>
      </c>
      <c r="D11" s="30"/>
      <c r="E11" s="538" t="str">
        <f>'Tiên lượng'!D42</f>
        <v>Đào kênh mương, rãnh thoát nước, đường ống, đường cáp bằng thủ công, rộng ≤1m, sâu ≤1m - Cấp đất III</v>
      </c>
      <c r="F11" s="91" t="str">
        <f>'Tiên lượng'!E42</f>
        <v>1m3</v>
      </c>
      <c r="G11" s="573">
        <f>'Tiên lượng'!M42</f>
        <v>17.13</v>
      </c>
      <c r="H11" s="573">
        <f>PTVT!G140</f>
        <v>1.62</v>
      </c>
      <c r="I11" s="573">
        <f>'Tiên lượng'!W42</f>
        <v>1</v>
      </c>
      <c r="J11" s="573">
        <f t="shared" si="0"/>
        <v>27.750599999999999</v>
      </c>
      <c r="K11" s="229"/>
      <c r="L11" s="229"/>
      <c r="M11" s="229"/>
      <c r="N11" s="229"/>
      <c r="O11" s="229"/>
      <c r="P11" s="229"/>
      <c r="Q11" s="229"/>
      <c r="R11" s="229"/>
      <c r="S11" s="229"/>
      <c r="T11" s="229"/>
      <c r="U11" s="229"/>
      <c r="V11" s="229"/>
      <c r="W11" s="229"/>
      <c r="X11" s="229"/>
      <c r="Y11" s="229"/>
      <c r="Z11" s="229"/>
      <c r="AA11" s="229">
        <f>J11*Z6</f>
        <v>0</v>
      </c>
    </row>
    <row r="12" spans="1:27" x14ac:dyDescent="0.25">
      <c r="A12" s="259" t="s">
        <v>1293</v>
      </c>
      <c r="B12" s="405">
        <v>2</v>
      </c>
      <c r="C12" s="351" t="s">
        <v>1103</v>
      </c>
      <c r="D12" s="351">
        <f>'Giá NC'!D6</f>
        <v>0</v>
      </c>
      <c r="E12" s="828" t="str">
        <f>'Giá NC'!E6</f>
        <v>Nhân công bậc 3,0/7 - Nhóm 2</v>
      </c>
      <c r="F12" s="405" t="s">
        <v>239</v>
      </c>
      <c r="G12" s="853"/>
      <c r="H12" s="853"/>
      <c r="I12" s="853"/>
      <c r="J12" s="853">
        <f>SUM(J13:J14)</f>
        <v>3.8325</v>
      </c>
      <c r="K12" s="542">
        <f>'Giá NC'!G6</f>
        <v>246908</v>
      </c>
      <c r="L12" s="542">
        <f>J12*K12</f>
        <v>946274.91</v>
      </c>
      <c r="M12" s="542">
        <f>'Giá NC'!H6</f>
        <v>246908</v>
      </c>
      <c r="N12" s="542">
        <f>J12*M12</f>
        <v>946274.91</v>
      </c>
      <c r="O12" s="542">
        <f>M12-K12</f>
        <v>0</v>
      </c>
      <c r="P12" s="542">
        <f>J12*O12</f>
        <v>0</v>
      </c>
      <c r="Q12" s="542">
        <v>1</v>
      </c>
      <c r="R12" s="542">
        <f>M12*Q12</f>
        <v>246908</v>
      </c>
      <c r="S12" s="542">
        <f>J12*R12</f>
        <v>946274.91</v>
      </c>
      <c r="T12" s="542">
        <v>0</v>
      </c>
      <c r="U12" s="542">
        <v>0</v>
      </c>
      <c r="V12" s="542">
        <v>0</v>
      </c>
      <c r="W12" s="542">
        <v>0</v>
      </c>
      <c r="X12" s="542">
        <f>'Giá NC'!K6</f>
        <v>246908</v>
      </c>
      <c r="Y12" s="542">
        <f>J12*X12</f>
        <v>946274.91</v>
      </c>
      <c r="Z12" s="542">
        <f>X12-K12</f>
        <v>0</v>
      </c>
      <c r="AA12" s="542">
        <f>J12*Z12</f>
        <v>0</v>
      </c>
    </row>
    <row r="13" spans="1:27" s="379" customFormat="1" ht="30" hidden="1" x14ac:dyDescent="0.25">
      <c r="A13" s="739">
        <f>'Tiên lượng'!A18</f>
        <v>0</v>
      </c>
      <c r="B13" s="91"/>
      <c r="C13" s="30" t="str">
        <f>'Tiên lượng'!C18</f>
        <v>AD.11212.VD</v>
      </c>
      <c r="D13" s="30"/>
      <c r="E13" s="538" t="str">
        <f>'Tiên lượng'!D18</f>
        <v>Bù vênh mặt đường bằng Đá dăm cấp phối loại II (Subbase)</v>
      </c>
      <c r="F13" s="91" t="str">
        <f>'Tiên lượng'!E18</f>
        <v>100m3</v>
      </c>
      <c r="G13" s="573">
        <f>'Tiên lượng'!M18</f>
        <v>0.5</v>
      </c>
      <c r="H13" s="573">
        <f>PTVT!G46</f>
        <v>6</v>
      </c>
      <c r="I13" s="573">
        <f>'Tiên lượng'!W18</f>
        <v>1</v>
      </c>
      <c r="J13" s="573">
        <f t="shared" ref="J13:J14" si="1">PRODUCT(G13,H13,I13)</f>
        <v>3</v>
      </c>
      <c r="K13" s="229"/>
      <c r="L13" s="229"/>
      <c r="M13" s="229"/>
      <c r="N13" s="229"/>
      <c r="O13" s="229"/>
      <c r="P13" s="229"/>
      <c r="Q13" s="229"/>
      <c r="R13" s="229"/>
      <c r="S13" s="229"/>
      <c r="T13" s="229"/>
      <c r="U13" s="229"/>
      <c r="V13" s="229"/>
      <c r="W13" s="229"/>
      <c r="X13" s="229"/>
      <c r="Y13" s="229"/>
      <c r="Z13" s="229"/>
      <c r="AA13" s="229">
        <f>J13*Z12</f>
        <v>0</v>
      </c>
    </row>
    <row r="14" spans="1:27" s="379" customFormat="1" ht="30" hidden="1" x14ac:dyDescent="0.25">
      <c r="A14" s="739">
        <f>'Tiên lượng'!A20</f>
        <v>0</v>
      </c>
      <c r="B14" s="91"/>
      <c r="C14" s="30" t="str">
        <f>'Tiên lượng'!C20</f>
        <v>AD.11222.VD</v>
      </c>
      <c r="D14" s="30"/>
      <c r="E14" s="538" t="str">
        <f>'Tiên lượng'!D20</f>
        <v>Thi công lớp đệm móng bằng đá mạt. chiều dài 150m</v>
      </c>
      <c r="F14" s="91" t="str">
        <f>'Tiên lượng'!E20</f>
        <v>100m3</v>
      </c>
      <c r="G14" s="573">
        <f>'Tiên lượng'!M20</f>
        <v>0.16649999999999998</v>
      </c>
      <c r="H14" s="573">
        <f>PTVT!G55</f>
        <v>5</v>
      </c>
      <c r="I14" s="573">
        <f>'Tiên lượng'!W20</f>
        <v>1</v>
      </c>
      <c r="J14" s="573">
        <f t="shared" si="1"/>
        <v>0.83249999999999991</v>
      </c>
      <c r="K14" s="229"/>
      <c r="L14" s="229"/>
      <c r="M14" s="229"/>
      <c r="N14" s="229"/>
      <c r="O14" s="229"/>
      <c r="P14" s="229"/>
      <c r="Q14" s="229"/>
      <c r="R14" s="229"/>
      <c r="S14" s="229"/>
      <c r="T14" s="229"/>
      <c r="U14" s="229"/>
      <c r="V14" s="229"/>
      <c r="W14" s="229"/>
      <c r="X14" s="229"/>
      <c r="Y14" s="229"/>
      <c r="Z14" s="229"/>
      <c r="AA14" s="229">
        <f>J14*Z12</f>
        <v>0</v>
      </c>
    </row>
    <row r="15" spans="1:27" x14ac:dyDescent="0.25">
      <c r="A15" s="259" t="s">
        <v>1293</v>
      </c>
      <c r="B15" s="405">
        <v>3</v>
      </c>
      <c r="C15" s="351" t="s">
        <v>1055</v>
      </c>
      <c r="D15" s="351">
        <f>'Giá NC'!D7</f>
        <v>0</v>
      </c>
      <c r="E15" s="828" t="str">
        <f>'Giá NC'!E7</f>
        <v>Nhân công bậc 3,5/7 - Nhóm 2</v>
      </c>
      <c r="F15" s="405" t="s">
        <v>239</v>
      </c>
      <c r="G15" s="853"/>
      <c r="H15" s="853"/>
      <c r="I15" s="853"/>
      <c r="J15" s="853">
        <f>SUM(J16:J20)</f>
        <v>561.93175000000019</v>
      </c>
      <c r="K15" s="542">
        <f>'Giá NC'!G7</f>
        <v>270000</v>
      </c>
      <c r="L15" s="542">
        <f>J15*K15</f>
        <v>151721572.50000006</v>
      </c>
      <c r="M15" s="542">
        <f>'Giá NC'!H7</f>
        <v>270000</v>
      </c>
      <c r="N15" s="542">
        <f>J15*M15</f>
        <v>151721572.50000006</v>
      </c>
      <c r="O15" s="542">
        <f>M15-K15</f>
        <v>0</v>
      </c>
      <c r="P15" s="542">
        <f>J15*O15</f>
        <v>0</v>
      </c>
      <c r="Q15" s="542">
        <v>1</v>
      </c>
      <c r="R15" s="542">
        <f>M15*Q15</f>
        <v>270000</v>
      </c>
      <c r="S15" s="542">
        <f>J15*R15</f>
        <v>151721572.50000006</v>
      </c>
      <c r="T15" s="542">
        <v>0</v>
      </c>
      <c r="U15" s="542">
        <v>0</v>
      </c>
      <c r="V15" s="542">
        <v>0</v>
      </c>
      <c r="W15" s="542">
        <v>0</v>
      </c>
      <c r="X15" s="542">
        <f>'Giá NC'!K7</f>
        <v>270000</v>
      </c>
      <c r="Y15" s="542">
        <f>J15*X15</f>
        <v>151721572.50000006</v>
      </c>
      <c r="Z15" s="542">
        <f>X15-K15</f>
        <v>0</v>
      </c>
      <c r="AA15" s="542">
        <f>J15*Z15</f>
        <v>0</v>
      </c>
    </row>
    <row r="16" spans="1:27" s="379" customFormat="1" ht="30" hidden="1" x14ac:dyDescent="0.25">
      <c r="A16" s="739">
        <f>'Tiên lượng'!A24</f>
        <v>0</v>
      </c>
      <c r="B16" s="91"/>
      <c r="C16" s="30" t="str">
        <f>'Tiên lượng'!C24</f>
        <v>BB.11211</v>
      </c>
      <c r="D16" s="30"/>
      <c r="E16" s="538" t="str">
        <f>'Tiên lượng'!D24</f>
        <v>Lắp đặt ống bê tông bằng cần cẩu, đoạn ống dài 1m - Đường kính ≤600mm</v>
      </c>
      <c r="F16" s="91" t="str">
        <f>'Tiên lượng'!E24</f>
        <v>1 đoạn ống</v>
      </c>
      <c r="G16" s="573">
        <f>'Tiên lượng'!M24</f>
        <v>5</v>
      </c>
      <c r="H16" s="573">
        <f>PTVT!G75</f>
        <v>0.26</v>
      </c>
      <c r="I16" s="573">
        <f>'Tiên lượng'!W24</f>
        <v>1</v>
      </c>
      <c r="J16" s="573">
        <f t="shared" ref="J16:J20" si="2">PRODUCT(G16,H16,I16)</f>
        <v>1.3</v>
      </c>
      <c r="K16" s="229"/>
      <c r="L16" s="229"/>
      <c r="M16" s="229"/>
      <c r="N16" s="229"/>
      <c r="O16" s="229"/>
      <c r="P16" s="229"/>
      <c r="Q16" s="229"/>
      <c r="R16" s="229"/>
      <c r="S16" s="229"/>
      <c r="T16" s="229"/>
      <c r="U16" s="229"/>
      <c r="V16" s="229"/>
      <c r="W16" s="229"/>
      <c r="X16" s="229"/>
      <c r="Y16" s="229"/>
      <c r="Z16" s="229"/>
      <c r="AA16" s="229">
        <f>J16*Z15</f>
        <v>0</v>
      </c>
    </row>
    <row r="17" spans="1:27" s="379" customFormat="1" hidden="1" x14ac:dyDescent="0.25">
      <c r="A17" s="739">
        <f>'Tiên lượng'!A27</f>
        <v>0</v>
      </c>
      <c r="B17" s="91"/>
      <c r="C17" s="30" t="str">
        <f>'Tiên lượng'!C27</f>
        <v>AL.16201</v>
      </c>
      <c r="D17" s="30"/>
      <c r="E17" s="538" t="str">
        <f>'Tiên lượng'!D27</f>
        <v>Rải giấy ni long lớp cách ly</v>
      </c>
      <c r="F17" s="91" t="str">
        <f>'Tiên lượng'!E27</f>
        <v>100m2</v>
      </c>
      <c r="G17" s="573">
        <f>'Tiên lượng'!M27</f>
        <v>18.594999999999999</v>
      </c>
      <c r="H17" s="573">
        <f>PTVT!G91</f>
        <v>0.15</v>
      </c>
      <c r="I17" s="573">
        <f>'Tiên lượng'!W27</f>
        <v>1</v>
      </c>
      <c r="J17" s="573">
        <f t="shared" si="2"/>
        <v>2.7892499999999996</v>
      </c>
      <c r="K17" s="229"/>
      <c r="L17" s="229"/>
      <c r="M17" s="229"/>
      <c r="N17" s="229"/>
      <c r="O17" s="229"/>
      <c r="P17" s="229"/>
      <c r="Q17" s="229"/>
      <c r="R17" s="229"/>
      <c r="S17" s="229"/>
      <c r="T17" s="229"/>
      <c r="U17" s="229"/>
      <c r="V17" s="229"/>
      <c r="W17" s="229"/>
      <c r="X17" s="229"/>
      <c r="Y17" s="229"/>
      <c r="Z17" s="229"/>
      <c r="AA17" s="229">
        <f>J17*Z15</f>
        <v>0</v>
      </c>
    </row>
    <row r="18" spans="1:27" s="379" customFormat="1" ht="45" hidden="1" x14ac:dyDescent="0.25">
      <c r="A18" s="739">
        <f>'Tiên lượng'!A32</f>
        <v>0</v>
      </c>
      <c r="B18" s="91"/>
      <c r="C18" s="30" t="str">
        <f>'Tiên lượng'!C32</f>
        <v>AF.15434A</v>
      </c>
      <c r="D18" s="30"/>
      <c r="E18" s="538" t="str">
        <f>'Tiên lượng'!D32</f>
        <v>Bê tông sản xuất bằng máy trộn và đổ bằng thủ công, bê tông mặt đường dày mặt đường ≤25cm, bê tông M250, đá 2x4, PCB30</v>
      </c>
      <c r="F18" s="91" t="str">
        <f>'Tiên lượng'!E32</f>
        <v>m3</v>
      </c>
      <c r="G18" s="573">
        <f>'Tiên lượng'!M32</f>
        <v>371.90000000000003</v>
      </c>
      <c r="H18" s="573">
        <f>PTVT!G112</f>
        <v>1.37</v>
      </c>
      <c r="I18" s="573">
        <f>'Tiên lượng'!W32</f>
        <v>1</v>
      </c>
      <c r="J18" s="573">
        <f t="shared" si="2"/>
        <v>509.5030000000001</v>
      </c>
      <c r="K18" s="229"/>
      <c r="L18" s="229"/>
      <c r="M18" s="229"/>
      <c r="N18" s="229"/>
      <c r="O18" s="229"/>
      <c r="P18" s="229"/>
      <c r="Q18" s="229"/>
      <c r="R18" s="229"/>
      <c r="S18" s="229"/>
      <c r="T18" s="229"/>
      <c r="U18" s="229"/>
      <c r="V18" s="229"/>
      <c r="W18" s="229"/>
      <c r="X18" s="229"/>
      <c r="Y18" s="229"/>
      <c r="Z18" s="229"/>
      <c r="AA18" s="229">
        <f>J18*Z15</f>
        <v>0</v>
      </c>
    </row>
    <row r="19" spans="1:27" s="379" customFormat="1" ht="30" hidden="1" x14ac:dyDescent="0.25">
      <c r="A19" s="739">
        <f>'Tiên lượng'!A35</f>
        <v>0</v>
      </c>
      <c r="B19" s="91"/>
      <c r="C19" s="30" t="str">
        <f>'Tiên lượng'!C35</f>
        <v>AL.22111</v>
      </c>
      <c r="D19" s="30"/>
      <c r="E19" s="538" t="str">
        <f>'Tiên lượng'!D35</f>
        <v>Cắt khe co, dãn mặt đường BTXM ( 5m cắt 1 mạch)</v>
      </c>
      <c r="F19" s="91" t="str">
        <f>'Tiên lượng'!E35</f>
        <v>10m</v>
      </c>
      <c r="G19" s="573">
        <f>'Tiên lượng'!M35</f>
        <v>36.190000000000005</v>
      </c>
      <c r="H19" s="573">
        <f>PTVT!G123</f>
        <v>0.55000000000000004</v>
      </c>
      <c r="I19" s="573">
        <f>'Tiên lượng'!W35</f>
        <v>1</v>
      </c>
      <c r="J19" s="573">
        <f t="shared" si="2"/>
        <v>19.904500000000006</v>
      </c>
      <c r="K19" s="229"/>
      <c r="L19" s="229"/>
      <c r="M19" s="229"/>
      <c r="N19" s="229"/>
      <c r="O19" s="229"/>
      <c r="P19" s="229"/>
      <c r="Q19" s="229"/>
      <c r="R19" s="229"/>
      <c r="S19" s="229"/>
      <c r="T19" s="229"/>
      <c r="U19" s="229"/>
      <c r="V19" s="229"/>
      <c r="W19" s="229"/>
      <c r="X19" s="229"/>
      <c r="Y19" s="229"/>
      <c r="Z19" s="229"/>
      <c r="AA19" s="229">
        <f>J19*Z15</f>
        <v>0</v>
      </c>
    </row>
    <row r="20" spans="1:27" s="379" customFormat="1" ht="30" hidden="1" x14ac:dyDescent="0.25">
      <c r="A20" s="739">
        <f>'Tiên lượng'!A45</f>
        <v>0</v>
      </c>
      <c r="B20" s="91"/>
      <c r="C20" s="30" t="str">
        <f>'Tiên lượng'!C45</f>
        <v>SF.11311.VD</v>
      </c>
      <c r="D20" s="30"/>
      <c r="E20" s="538" t="str">
        <f>'Tiên lượng'!D45</f>
        <v>Đắp phụ nền, lề đường bằng Đá dăm cấp phối loại II (Subbase)</v>
      </c>
      <c r="F20" s="91" t="str">
        <f>'Tiên lượng'!E45</f>
        <v>m3</v>
      </c>
      <c r="G20" s="573">
        <f>'Tiên lượng'!M45</f>
        <v>113.74000000000001</v>
      </c>
      <c r="H20" s="573">
        <f>PTVT!G152</f>
        <v>0.25</v>
      </c>
      <c r="I20" s="573">
        <f>'Tiên lượng'!W45</f>
        <v>1</v>
      </c>
      <c r="J20" s="573">
        <f t="shared" si="2"/>
        <v>28.435000000000002</v>
      </c>
      <c r="K20" s="229"/>
      <c r="L20" s="229"/>
      <c r="M20" s="229"/>
      <c r="N20" s="229"/>
      <c r="O20" s="229"/>
      <c r="P20" s="229"/>
      <c r="Q20" s="229"/>
      <c r="R20" s="229"/>
      <c r="S20" s="229"/>
      <c r="T20" s="229"/>
      <c r="U20" s="229"/>
      <c r="V20" s="229"/>
      <c r="W20" s="229"/>
      <c r="X20" s="229"/>
      <c r="Y20" s="229"/>
      <c r="Z20" s="229"/>
      <c r="AA20" s="229">
        <f>J20*Z15</f>
        <v>0</v>
      </c>
    </row>
    <row r="21" spans="1:27" x14ac:dyDescent="0.25">
      <c r="A21" s="259" t="s">
        <v>1293</v>
      </c>
      <c r="B21" s="405">
        <v>4</v>
      </c>
      <c r="C21" s="351" t="s">
        <v>1295</v>
      </c>
      <c r="D21" s="351">
        <f>'Giá NC'!D8</f>
        <v>0</v>
      </c>
      <c r="E21" s="828" t="str">
        <f>'Giá NC'!E8</f>
        <v>Nhân công bậc 4,0/7 - Nhóm 2</v>
      </c>
      <c r="F21" s="405" t="s">
        <v>239</v>
      </c>
      <c r="G21" s="853"/>
      <c r="H21" s="853"/>
      <c r="I21" s="853"/>
      <c r="J21" s="853">
        <f>SUM(J22:J22)</f>
        <v>23.782</v>
      </c>
      <c r="K21" s="542">
        <f>'Giá NC'!G8</f>
        <v>293092</v>
      </c>
      <c r="L21" s="542">
        <f>J21*K21</f>
        <v>6970313.9440000001</v>
      </c>
      <c r="M21" s="542">
        <f>'Giá NC'!H8</f>
        <v>293092</v>
      </c>
      <c r="N21" s="542">
        <f>J21*M21</f>
        <v>6970313.9440000001</v>
      </c>
      <c r="O21" s="542">
        <f>M21-K21</f>
        <v>0</v>
      </c>
      <c r="P21" s="542">
        <f>J21*O21</f>
        <v>0</v>
      </c>
      <c r="Q21" s="542">
        <v>1</v>
      </c>
      <c r="R21" s="542">
        <f>M21*Q21</f>
        <v>293092</v>
      </c>
      <c r="S21" s="542">
        <f>J21*R21</f>
        <v>6970313.9440000001</v>
      </c>
      <c r="T21" s="542">
        <v>0</v>
      </c>
      <c r="U21" s="542">
        <v>0</v>
      </c>
      <c r="V21" s="542">
        <v>0</v>
      </c>
      <c r="W21" s="542">
        <v>0</v>
      </c>
      <c r="X21" s="542">
        <f>'Giá NC'!K8</f>
        <v>293092</v>
      </c>
      <c r="Y21" s="542">
        <f>J21*X21</f>
        <v>6970313.9440000001</v>
      </c>
      <c r="Z21" s="542">
        <f>X21-K21</f>
        <v>0</v>
      </c>
      <c r="AA21" s="542">
        <f>J21*Z21</f>
        <v>0</v>
      </c>
    </row>
    <row r="22" spans="1:27" s="379" customFormat="1" hidden="1" x14ac:dyDescent="0.25">
      <c r="A22" s="739">
        <f>'Tiên lượng'!A30</f>
        <v>0</v>
      </c>
      <c r="B22" s="91"/>
      <c r="C22" s="30" t="str">
        <f>'Tiên lượng'!C30</f>
        <v>AF.82411</v>
      </c>
      <c r="D22" s="30"/>
      <c r="E22" s="538" t="str">
        <f>'Tiên lượng'!D30</f>
        <v>Ván khuôn thép mặt đường bê tông</v>
      </c>
      <c r="F22" s="91" t="str">
        <f>'Tiên lượng'!E30</f>
        <v>100m2</v>
      </c>
      <c r="G22" s="573">
        <f>'Tiên lượng'!M30</f>
        <v>2.0680000000000001</v>
      </c>
      <c r="H22" s="573">
        <f>PTVT!G98</f>
        <v>11.5</v>
      </c>
      <c r="I22" s="573">
        <f>'Tiên lượng'!W30</f>
        <v>1</v>
      </c>
      <c r="J22" s="573">
        <f>PRODUCT(G22,H22,I22)</f>
        <v>23.782</v>
      </c>
      <c r="K22" s="229"/>
      <c r="L22" s="229"/>
      <c r="M22" s="229"/>
      <c r="N22" s="229"/>
      <c r="O22" s="229"/>
      <c r="P22" s="229"/>
      <c r="Q22" s="229"/>
      <c r="R22" s="229"/>
      <c r="S22" s="229"/>
      <c r="T22" s="229"/>
      <c r="U22" s="229"/>
      <c r="V22" s="229"/>
      <c r="W22" s="229"/>
      <c r="X22" s="229"/>
      <c r="Y22" s="229"/>
      <c r="Z22" s="229"/>
      <c r="AA22" s="229">
        <f>J22*Z21</f>
        <v>0</v>
      </c>
    </row>
    <row r="23" spans="1:27" x14ac:dyDescent="0.25">
      <c r="A23" s="259" t="s">
        <v>1293</v>
      </c>
      <c r="B23" s="405">
        <v>5</v>
      </c>
      <c r="C23" s="351" t="s">
        <v>172</v>
      </c>
      <c r="D23" s="351" t="s">
        <v>172</v>
      </c>
      <c r="E23" s="828" t="s">
        <v>906</v>
      </c>
      <c r="F23" s="405" t="s">
        <v>1258</v>
      </c>
      <c r="G23" s="853"/>
      <c r="H23" s="853"/>
      <c r="I23" s="853"/>
      <c r="J23" s="853">
        <f>SUM(J24:J24)</f>
        <v>1859.5</v>
      </c>
      <c r="K23" s="542">
        <v>12000</v>
      </c>
      <c r="L23" s="542">
        <f>J23*K23</f>
        <v>22314000</v>
      </c>
      <c r="M23" s="542">
        <v>12000</v>
      </c>
      <c r="N23" s="542">
        <f>J23*M23</f>
        <v>22314000</v>
      </c>
      <c r="O23" s="542">
        <f>M23-K23</f>
        <v>0</v>
      </c>
      <c r="P23" s="542">
        <f>J23*O23</f>
        <v>0</v>
      </c>
      <c r="Q23" s="542">
        <v>1</v>
      </c>
      <c r="R23" s="542">
        <f>M23*Q23</f>
        <v>12000</v>
      </c>
      <c r="S23" s="542">
        <f>J23*R23</f>
        <v>22314000</v>
      </c>
      <c r="T23" s="542">
        <v>0</v>
      </c>
      <c r="U23" s="542">
        <v>0</v>
      </c>
      <c r="V23" s="542">
        <v>0</v>
      </c>
      <c r="W23" s="542">
        <v>0</v>
      </c>
      <c r="X23" s="542">
        <v>12000</v>
      </c>
      <c r="Y23" s="542">
        <f>J23*X23</f>
        <v>22314000</v>
      </c>
      <c r="Z23" s="542">
        <f>X23-K23</f>
        <v>0</v>
      </c>
      <c r="AA23" s="542">
        <f>J23*Z23</f>
        <v>0</v>
      </c>
    </row>
    <row r="24" spans="1:27" s="379" customFormat="1" hidden="1" x14ac:dyDescent="0.25">
      <c r="A24" s="739">
        <f>'Tiên lượng'!A37</f>
        <v>0</v>
      </c>
      <c r="B24" s="91"/>
      <c r="C24" s="30" t="str">
        <f>'Tiên lượng'!C37</f>
        <v>TT</v>
      </c>
      <c r="D24" s="30"/>
      <c r="E24" s="538" t="str">
        <f>'Tiên lượng'!D37</f>
        <v>Công tác đánh bóng mặt đường bằng máy</v>
      </c>
      <c r="F24" s="91" t="str">
        <f>'Tiên lượng'!E37</f>
        <v>m2</v>
      </c>
      <c r="G24" s="573">
        <f>'Tiên lượng'!M37</f>
        <v>1859.5</v>
      </c>
      <c r="H24" s="573">
        <f>1</f>
        <v>1</v>
      </c>
      <c r="I24" s="573">
        <f>'Tiên lượng'!W37</f>
        <v>1</v>
      </c>
      <c r="J24" s="573">
        <f>PRODUCT(G24,H24,I24)</f>
        <v>1859.5</v>
      </c>
      <c r="K24" s="229"/>
      <c r="L24" s="229"/>
      <c r="M24" s="229"/>
      <c r="N24" s="229"/>
      <c r="O24" s="229"/>
      <c r="P24" s="229"/>
      <c r="Q24" s="229"/>
      <c r="R24" s="229"/>
      <c r="S24" s="229"/>
      <c r="T24" s="229"/>
      <c r="U24" s="229"/>
      <c r="V24" s="229"/>
      <c r="W24" s="229"/>
      <c r="X24" s="229"/>
      <c r="Y24" s="229"/>
      <c r="Z24" s="229"/>
      <c r="AA24" s="229">
        <f>J24*Z23</f>
        <v>0</v>
      </c>
    </row>
    <row r="25" spans="1:27" ht="30" x14ac:dyDescent="0.25">
      <c r="A25" s="259" t="s">
        <v>1293</v>
      </c>
      <c r="B25" s="405">
        <v>6</v>
      </c>
      <c r="C25" s="351" t="s">
        <v>172</v>
      </c>
      <c r="D25" s="351" t="s">
        <v>172</v>
      </c>
      <c r="E25" s="828" t="s">
        <v>863</v>
      </c>
      <c r="F25" s="405" t="s">
        <v>239</v>
      </c>
      <c r="G25" s="853"/>
      <c r="H25" s="853"/>
      <c r="I25" s="853"/>
      <c r="J25" s="853">
        <f>SUM(J26:J26)</f>
        <v>4</v>
      </c>
      <c r="K25" s="542">
        <v>450000</v>
      </c>
      <c r="L25" s="542">
        <f>J25*K25</f>
        <v>1800000</v>
      </c>
      <c r="M25" s="542">
        <v>450000</v>
      </c>
      <c r="N25" s="542">
        <f>J25*M25</f>
        <v>1800000</v>
      </c>
      <c r="O25" s="542">
        <f>M25-K25</f>
        <v>0</v>
      </c>
      <c r="P25" s="542">
        <f>J25*O25</f>
        <v>0</v>
      </c>
      <c r="Q25" s="542">
        <v>1</v>
      </c>
      <c r="R25" s="542">
        <f>M25*Q25</f>
        <v>450000</v>
      </c>
      <c r="S25" s="542">
        <f>J25*R25</f>
        <v>1800000</v>
      </c>
      <c r="T25" s="542">
        <v>0</v>
      </c>
      <c r="U25" s="542">
        <v>0</v>
      </c>
      <c r="V25" s="542">
        <v>0</v>
      </c>
      <c r="W25" s="542">
        <v>0</v>
      </c>
      <c r="X25" s="542">
        <v>450000</v>
      </c>
      <c r="Y25" s="542">
        <f>J25*X25</f>
        <v>1800000</v>
      </c>
      <c r="Z25" s="542">
        <f>X25-K25</f>
        <v>0</v>
      </c>
      <c r="AA25" s="542">
        <f>J25*Z25</f>
        <v>0</v>
      </c>
    </row>
    <row r="26" spans="1:27" s="379" customFormat="1" ht="30" hidden="1" x14ac:dyDescent="0.25">
      <c r="A26" s="739">
        <f>'Tiên lượng'!A23</f>
        <v>0</v>
      </c>
      <c r="B26" s="91"/>
      <c r="C26" s="30" t="str">
        <f>'Tiên lượng'!C23</f>
        <v>TT</v>
      </c>
      <c r="D26" s="30"/>
      <c r="E26" s="538" t="str">
        <f>'Tiên lượng'!D23</f>
        <v>Công tác đào rãnh, hố ga để đặt cống thoát nước đầu tuyến bằng thủ công</v>
      </c>
      <c r="F26" s="91" t="str">
        <f>'Tiên lượng'!E23</f>
        <v>công</v>
      </c>
      <c r="G26" s="573">
        <f>'Tiên lượng'!M23</f>
        <v>4</v>
      </c>
      <c r="H26" s="573">
        <f>1</f>
        <v>1</v>
      </c>
      <c r="I26" s="573">
        <f>'Tiên lượng'!W23</f>
        <v>1</v>
      </c>
      <c r="J26" s="573">
        <f>PRODUCT(G26,H26,I26)</f>
        <v>4</v>
      </c>
      <c r="K26" s="229"/>
      <c r="L26" s="229"/>
      <c r="M26" s="229"/>
      <c r="N26" s="229"/>
      <c r="O26" s="229"/>
      <c r="P26" s="229"/>
      <c r="Q26" s="229"/>
      <c r="R26" s="229"/>
      <c r="S26" s="229"/>
      <c r="T26" s="229"/>
      <c r="U26" s="229"/>
      <c r="V26" s="229"/>
      <c r="W26" s="229"/>
      <c r="X26" s="229"/>
      <c r="Y26" s="229"/>
      <c r="Z26" s="229"/>
      <c r="AA26" s="229">
        <f>J26*Z25</f>
        <v>0</v>
      </c>
    </row>
    <row r="27" spans="1:27" x14ac:dyDescent="0.25">
      <c r="A27" s="259" t="s">
        <v>1293</v>
      </c>
      <c r="B27" s="405">
        <v>7</v>
      </c>
      <c r="C27" s="351" t="s">
        <v>172</v>
      </c>
      <c r="D27" s="351" t="s">
        <v>172</v>
      </c>
      <c r="E27" s="828" t="s">
        <v>1003</v>
      </c>
      <c r="F27" s="405" t="s">
        <v>418</v>
      </c>
      <c r="G27" s="853"/>
      <c r="H27" s="853"/>
      <c r="I27" s="853"/>
      <c r="J27" s="853">
        <f>SUM(J28:J28)</f>
        <v>2</v>
      </c>
      <c r="K27" s="542">
        <v>1000000</v>
      </c>
      <c r="L27" s="542">
        <f>J27*K27</f>
        <v>2000000</v>
      </c>
      <c r="M27" s="542">
        <v>1000000</v>
      </c>
      <c r="N27" s="542">
        <f>J27*M27</f>
        <v>2000000</v>
      </c>
      <c r="O27" s="542">
        <f>M27-K27</f>
        <v>0</v>
      </c>
      <c r="P27" s="542">
        <f>J27*O27</f>
        <v>0</v>
      </c>
      <c r="Q27" s="542">
        <v>1</v>
      </c>
      <c r="R27" s="542">
        <f>M27*Q27</f>
        <v>1000000</v>
      </c>
      <c r="S27" s="542">
        <f>J27*R27</f>
        <v>2000000</v>
      </c>
      <c r="T27" s="542">
        <v>0</v>
      </c>
      <c r="U27" s="542">
        <v>0</v>
      </c>
      <c r="V27" s="542">
        <v>0</v>
      </c>
      <c r="W27" s="542">
        <v>0</v>
      </c>
      <c r="X27" s="542">
        <v>1000000</v>
      </c>
      <c r="Y27" s="542">
        <f>J27*X27</f>
        <v>2000000</v>
      </c>
      <c r="Z27" s="542">
        <f>X27-K27</f>
        <v>0</v>
      </c>
      <c r="AA27" s="542">
        <f>J27*Z27</f>
        <v>0</v>
      </c>
    </row>
    <row r="28" spans="1:27" s="379" customFormat="1" hidden="1" x14ac:dyDescent="0.25">
      <c r="A28" s="739">
        <f>'Tiên lượng'!A25</f>
        <v>0</v>
      </c>
      <c r="B28" s="91"/>
      <c r="C28" s="30" t="str">
        <f>'Tiên lượng'!C25</f>
        <v>TT</v>
      </c>
      <c r="D28" s="30"/>
      <c r="E28" s="538" t="str">
        <f>'Tiên lượng'!D25</f>
        <v>Thi công hố ga 2 đầu cống</v>
      </c>
      <c r="F28" s="91" t="str">
        <f>'Tiên lượng'!E25</f>
        <v>cái</v>
      </c>
      <c r="G28" s="573">
        <f>'Tiên lượng'!M25</f>
        <v>2</v>
      </c>
      <c r="H28" s="573">
        <f>1</f>
        <v>1</v>
      </c>
      <c r="I28" s="573">
        <f>'Tiên lượng'!W25</f>
        <v>1</v>
      </c>
      <c r="J28" s="573">
        <f>PRODUCT(G28,H28,I28)</f>
        <v>2</v>
      </c>
      <c r="K28" s="229"/>
      <c r="L28" s="229"/>
      <c r="M28" s="229"/>
      <c r="N28" s="229"/>
      <c r="O28" s="229"/>
      <c r="P28" s="229"/>
      <c r="Q28" s="229"/>
      <c r="R28" s="229"/>
      <c r="S28" s="229"/>
      <c r="T28" s="229"/>
      <c r="U28" s="229"/>
      <c r="V28" s="229"/>
      <c r="W28" s="229"/>
      <c r="X28" s="229"/>
      <c r="Y28" s="229"/>
      <c r="Z28" s="229"/>
      <c r="AA28" s="229">
        <f>J28*Z27</f>
        <v>0</v>
      </c>
    </row>
    <row r="29" spans="1:27" x14ac:dyDescent="0.25">
      <c r="A29" s="341"/>
      <c r="B29" s="217"/>
      <c r="C29" s="157"/>
      <c r="D29" s="157"/>
      <c r="E29" s="667" t="s">
        <v>911</v>
      </c>
      <c r="F29" s="217"/>
      <c r="G29" s="150"/>
      <c r="H29" s="150"/>
      <c r="I29" s="150"/>
      <c r="J29" s="150"/>
      <c r="K29" s="727"/>
      <c r="L29" s="727">
        <f>SUMIF(A6:A28,"VT",L6:L28)</f>
        <v>198995725.92345607</v>
      </c>
      <c r="M29" s="727"/>
      <c r="N29" s="727">
        <f>SUMIF(A6:A28,"VT",N6:N28)</f>
        <v>198995725.92345607</v>
      </c>
      <c r="O29" s="727"/>
      <c r="P29" s="727">
        <f>SUMIF(A6:A28,"VT",P6:P28)</f>
        <v>0</v>
      </c>
      <c r="Q29" s="727"/>
      <c r="R29" s="727"/>
      <c r="S29" s="727">
        <f>SUMIF(A6:A28,"VT",S6:S28)</f>
        <v>198995725.92345607</v>
      </c>
      <c r="T29" s="727"/>
      <c r="U29" s="727">
        <f>SUMIF(A6:A28,"VT",U6:U28)</f>
        <v>0</v>
      </c>
      <c r="V29" s="727"/>
      <c r="W29" s="727">
        <f>SUMIF(A6:A28,"VT",W6:W28)</f>
        <v>0</v>
      </c>
      <c r="X29" s="727"/>
      <c r="Y29" s="727">
        <f>SUMIF(A6:A28,"VT",Y6:Y28)</f>
        <v>198995725.92345607</v>
      </c>
      <c r="Z29" s="727"/>
      <c r="AA29" s="727">
        <f>SUMIF(A6:A28,"VT",AA6:AA28)</f>
        <v>0</v>
      </c>
    </row>
    <row r="30" spans="1:27" x14ac:dyDescent="0.25">
      <c r="A30" s="702"/>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row>
    <row r="31" spans="1:27" x14ac:dyDescent="0.25">
      <c r="B31" s="874"/>
      <c r="C31" s="874"/>
      <c r="D31" s="874"/>
      <c r="E31" s="874"/>
      <c r="F31" s="874"/>
      <c r="G31" s="874"/>
      <c r="H31" s="874"/>
      <c r="I31" s="874"/>
      <c r="J31" s="874"/>
      <c r="K31" s="874"/>
      <c r="L31" s="874"/>
      <c r="M31" s="874"/>
      <c r="N31" s="874"/>
      <c r="O31" s="874"/>
      <c r="P31" s="874"/>
      <c r="Q31" s="874"/>
      <c r="R31" s="874"/>
      <c r="S31" s="874"/>
      <c r="T31" s="874"/>
      <c r="U31" s="874"/>
      <c r="V31" s="874"/>
      <c r="W31" s="874"/>
      <c r="X31" s="874"/>
      <c r="Y31" s="874"/>
      <c r="Z31" s="874"/>
      <c r="AA31" s="874"/>
    </row>
    <row r="32" spans="1:27" x14ac:dyDescent="0.25">
      <c r="B32" s="874"/>
      <c r="C32" s="874"/>
      <c r="D32" s="874"/>
      <c r="E32" s="874"/>
      <c r="F32" s="874"/>
      <c r="G32" s="874"/>
      <c r="H32" s="874"/>
      <c r="I32" s="874"/>
      <c r="J32" s="874"/>
      <c r="K32" s="874"/>
      <c r="L32" s="874"/>
      <c r="M32" s="874"/>
      <c r="N32" s="874"/>
      <c r="O32" s="874"/>
      <c r="P32" s="874"/>
      <c r="Q32" s="874"/>
      <c r="R32" s="874"/>
      <c r="S32" s="874"/>
      <c r="T32" s="874"/>
      <c r="U32" s="874"/>
      <c r="V32" s="874"/>
      <c r="W32" s="874"/>
      <c r="X32" s="874"/>
      <c r="Y32" s="874"/>
      <c r="Z32" s="874"/>
      <c r="AA32" s="874"/>
    </row>
  </sheetData>
  <mergeCells count="28">
    <mergeCell ref="Z4:Z5"/>
    <mergeCell ref="AA4:AA5"/>
    <mergeCell ref="U4:U5"/>
    <mergeCell ref="V4:V5"/>
    <mergeCell ref="W4:W5"/>
    <mergeCell ref="X4:X5"/>
    <mergeCell ref="Y4:Y5"/>
    <mergeCell ref="P4:P5"/>
    <mergeCell ref="Q4:Q5"/>
    <mergeCell ref="R4:R5"/>
    <mergeCell ref="S4:S5"/>
    <mergeCell ref="T4:T5"/>
    <mergeCell ref="A1:AA1"/>
    <mergeCell ref="A2:AA2"/>
    <mergeCell ref="A3:AA3"/>
    <mergeCell ref="B4:B5"/>
    <mergeCell ref="C4:C5"/>
    <mergeCell ref="E4:E5"/>
    <mergeCell ref="F4:F5"/>
    <mergeCell ref="G4:G5"/>
    <mergeCell ref="H4:H5"/>
    <mergeCell ref="I4:I5"/>
    <mergeCell ref="J4:J5"/>
    <mergeCell ref="K4:K5"/>
    <mergeCell ref="L4:L5"/>
    <mergeCell ref="M4:M5"/>
    <mergeCell ref="N4:N5"/>
    <mergeCell ref="O4:O5"/>
  </mergeCells>
  <pageMargins left="0.75" right="0.75" top="0.79" bottom="0.79" header="0.3" footer="0.3"/>
  <pageSetup paperSize="9" orientation="landscape" useFirstPageNumber="1" r:id="rId1"/>
  <headerFooter>
    <oddFooter>&amp;CTrang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7"/>
  </sheetPr>
  <dimension ref="A1:AA14"/>
  <sheetViews>
    <sheetView showZeros="0" topLeftCell="B1" workbookViewId="0">
      <selection activeCell="D9" sqref="D9"/>
    </sheetView>
  </sheetViews>
  <sheetFormatPr defaultColWidth="9.140625" defaultRowHeight="15" x14ac:dyDescent="0.25"/>
  <cols>
    <col min="1" max="1" width="9.140625" style="794" hidden="1" customWidth="1"/>
    <col min="2" max="2" width="5" style="794" bestFit="1" customWidth="1"/>
    <col min="3" max="3" width="8.140625" style="794" customWidth="1"/>
    <col min="4" max="4" width="33.85546875" style="794" customWidth="1"/>
    <col min="5" max="5" width="10.7109375" style="794" customWidth="1"/>
    <col min="6" max="6" width="6.7109375" style="794" hidden="1" customWidth="1"/>
    <col min="7" max="7" width="9.5703125" style="794" hidden="1" customWidth="1"/>
    <col min="8" max="8" width="9.42578125" style="794" hidden="1" customWidth="1"/>
    <col min="9" max="9" width="9.140625" style="794" hidden="1" customWidth="1"/>
    <col min="10" max="10" width="9.42578125" style="794" hidden="1" customWidth="1"/>
    <col min="11" max="11" width="8.28515625" style="794" hidden="1" customWidth="1"/>
    <col min="12" max="12" width="8.42578125" style="794" hidden="1" customWidth="1"/>
    <col min="13" max="13" width="9.140625" style="794" hidden="1" customWidth="1"/>
    <col min="14" max="14" width="10.42578125" style="794" hidden="1" customWidth="1"/>
    <col min="15" max="15" width="8.140625" style="794" hidden="1" customWidth="1"/>
    <col min="16" max="16" width="12" style="794" hidden="1" customWidth="1"/>
    <col min="17" max="17" width="10.28515625" style="794" customWidth="1"/>
    <col min="18" max="22" width="9.140625" style="794" hidden="1" customWidth="1"/>
    <col min="23" max="16384" width="9.140625" style="794"/>
  </cols>
  <sheetData>
    <row r="1" spans="1:27" ht="18.75" x14ac:dyDescent="0.3">
      <c r="A1" s="1081" t="s">
        <v>1320</v>
      </c>
      <c r="B1" s="1081" t="s">
        <v>1320</v>
      </c>
      <c r="C1" s="1081" t="s">
        <v>1320</v>
      </c>
      <c r="D1" s="1081" t="s">
        <v>1320</v>
      </c>
      <c r="E1" s="1081" t="s">
        <v>1320</v>
      </c>
      <c r="F1" s="1081" t="s">
        <v>1320</v>
      </c>
      <c r="G1" s="1081" t="s">
        <v>1320</v>
      </c>
      <c r="H1" s="1081" t="s">
        <v>1320</v>
      </c>
      <c r="I1" s="1081" t="s">
        <v>1320</v>
      </c>
      <c r="J1" s="1081" t="s">
        <v>1320</v>
      </c>
      <c r="K1" s="1081" t="s">
        <v>1320</v>
      </c>
      <c r="L1" s="1081" t="s">
        <v>1320</v>
      </c>
      <c r="M1" s="1081" t="s">
        <v>1320</v>
      </c>
      <c r="N1" s="1081" t="s">
        <v>1320</v>
      </c>
      <c r="O1" s="1081" t="s">
        <v>1320</v>
      </c>
      <c r="P1" s="1081" t="s">
        <v>1320</v>
      </c>
      <c r="Q1" s="1081" t="s">
        <v>1320</v>
      </c>
    </row>
    <row r="2" spans="1:27" x14ac:dyDescent="0.25">
      <c r="A2" s="1082" t="s">
        <v>197</v>
      </c>
      <c r="B2" s="1082" t="s">
        <v>197</v>
      </c>
      <c r="C2" s="1082" t="s">
        <v>197</v>
      </c>
      <c r="D2" s="1082" t="s">
        <v>197</v>
      </c>
      <c r="E2" s="1082" t="s">
        <v>197</v>
      </c>
      <c r="F2" s="1082" t="s">
        <v>197</v>
      </c>
      <c r="G2" s="1082" t="s">
        <v>197</v>
      </c>
      <c r="H2" s="1082" t="s">
        <v>197</v>
      </c>
      <c r="I2" s="1082" t="s">
        <v>197</v>
      </c>
      <c r="J2" s="1082" t="s">
        <v>197</v>
      </c>
      <c r="K2" s="1082" t="s">
        <v>197</v>
      </c>
      <c r="L2" s="1082" t="s">
        <v>197</v>
      </c>
      <c r="M2" s="1082" t="s">
        <v>197</v>
      </c>
      <c r="N2" s="1082" t="s">
        <v>197</v>
      </c>
      <c r="O2" s="1082" t="s">
        <v>197</v>
      </c>
      <c r="P2" s="1082" t="s">
        <v>197</v>
      </c>
      <c r="Q2" s="1082" t="s">
        <v>197</v>
      </c>
    </row>
    <row r="3" spans="1:27" x14ac:dyDescent="0.25">
      <c r="A3" s="1099" t="s">
        <v>1409</v>
      </c>
      <c r="B3" s="1099" t="s">
        <v>1409</v>
      </c>
      <c r="C3" s="1099" t="s">
        <v>1409</v>
      </c>
      <c r="D3" s="1099" t="s">
        <v>1409</v>
      </c>
      <c r="E3" s="1099" t="s">
        <v>1409</v>
      </c>
      <c r="F3" s="1099" t="s">
        <v>1409</v>
      </c>
      <c r="G3" s="1099" t="s">
        <v>1409</v>
      </c>
      <c r="H3" s="1099" t="s">
        <v>1409</v>
      </c>
      <c r="I3" s="1099" t="s">
        <v>1409</v>
      </c>
      <c r="J3" s="1099" t="s">
        <v>1409</v>
      </c>
      <c r="K3" s="1099" t="s">
        <v>1409</v>
      </c>
      <c r="L3" s="1099" t="s">
        <v>1409</v>
      </c>
      <c r="M3" s="1099" t="s">
        <v>1409</v>
      </c>
      <c r="N3" s="1099" t="s">
        <v>1409</v>
      </c>
      <c r="O3" s="1099" t="s">
        <v>1409</v>
      </c>
      <c r="P3" s="1099" t="s">
        <v>1409</v>
      </c>
      <c r="Q3" s="1099" t="s">
        <v>1409</v>
      </c>
    </row>
    <row r="4" spans="1:27" x14ac:dyDescent="0.25">
      <c r="B4" s="874"/>
      <c r="C4" s="864"/>
      <c r="D4" s="874"/>
      <c r="E4" s="874"/>
      <c r="F4" s="874"/>
      <c r="G4" s="874"/>
      <c r="H4" s="874"/>
      <c r="I4" s="874"/>
      <c r="J4" s="874"/>
      <c r="K4" s="874"/>
      <c r="L4" s="874"/>
      <c r="M4" s="874"/>
      <c r="N4" s="874"/>
      <c r="O4" s="874"/>
      <c r="P4" s="546"/>
      <c r="Q4" s="391">
        <v>0</v>
      </c>
      <c r="R4" s="874"/>
      <c r="S4" s="874"/>
      <c r="T4" s="874"/>
      <c r="U4" s="874"/>
      <c r="V4" s="874"/>
      <c r="W4" s="874"/>
      <c r="X4" s="874"/>
      <c r="Y4" s="874"/>
      <c r="Z4" s="874"/>
      <c r="AA4" s="874"/>
    </row>
    <row r="5" spans="1:27" x14ac:dyDescent="0.25">
      <c r="B5" s="803">
        <v>26</v>
      </c>
      <c r="C5" s="864"/>
      <c r="D5" s="874"/>
      <c r="E5" s="874"/>
      <c r="F5" s="874"/>
      <c r="G5" s="874"/>
      <c r="H5" s="874"/>
      <c r="I5" s="874"/>
      <c r="J5" s="874"/>
      <c r="K5" s="874"/>
      <c r="L5" s="874"/>
      <c r="M5" s="874"/>
      <c r="N5" s="874"/>
      <c r="O5" s="874"/>
      <c r="P5" s="546"/>
      <c r="Q5" s="391">
        <v>0</v>
      </c>
      <c r="R5" s="874"/>
      <c r="S5" s="874"/>
      <c r="T5" s="874"/>
      <c r="U5" s="874"/>
      <c r="V5" s="874"/>
      <c r="W5" s="874"/>
      <c r="X5" s="874"/>
      <c r="Y5" s="874"/>
      <c r="Z5" s="874"/>
      <c r="AA5" s="874"/>
    </row>
    <row r="6" spans="1:27" x14ac:dyDescent="0.25">
      <c r="B6" s="1126" t="s">
        <v>1323</v>
      </c>
      <c r="C6" s="1129" t="s">
        <v>1280</v>
      </c>
      <c r="D6" s="1126" t="s">
        <v>952</v>
      </c>
      <c r="E6" s="1126" t="s">
        <v>1448</v>
      </c>
      <c r="F6" s="1126" t="s">
        <v>123</v>
      </c>
      <c r="G6" s="1126" t="s">
        <v>259</v>
      </c>
      <c r="H6" s="1100" t="s">
        <v>268</v>
      </c>
      <c r="I6" s="1100"/>
      <c r="J6" s="1100"/>
      <c r="K6" s="1100"/>
      <c r="L6" s="1100"/>
      <c r="M6" s="1100"/>
      <c r="N6" s="1100"/>
      <c r="O6" s="1100"/>
      <c r="P6" s="1126" t="s">
        <v>883</v>
      </c>
      <c r="Q6" s="1126" t="s">
        <v>234</v>
      </c>
      <c r="R6" s="874"/>
      <c r="S6" s="874"/>
      <c r="T6" s="874"/>
      <c r="U6" s="874"/>
      <c r="V6" s="874"/>
      <c r="W6" s="874"/>
      <c r="X6" s="874"/>
      <c r="Y6" s="874"/>
      <c r="Z6" s="874"/>
      <c r="AA6" s="874"/>
    </row>
    <row r="7" spans="1:27" ht="29.25" customHeight="1" x14ac:dyDescent="0.25">
      <c r="B7" s="1127"/>
      <c r="C7" s="1130"/>
      <c r="D7" s="1127"/>
      <c r="E7" s="1127"/>
      <c r="F7" s="1127"/>
      <c r="G7" s="1127"/>
      <c r="H7" s="781" t="s">
        <v>1163</v>
      </c>
      <c r="I7" s="781" t="s">
        <v>734</v>
      </c>
      <c r="J7" s="781" t="s">
        <v>735</v>
      </c>
      <c r="K7" s="781" t="s">
        <v>1418</v>
      </c>
      <c r="L7" s="781" t="s">
        <v>1081</v>
      </c>
      <c r="M7" s="781" t="s">
        <v>1461</v>
      </c>
      <c r="N7" s="781" t="s">
        <v>1233</v>
      </c>
      <c r="O7" s="781" t="s">
        <v>839</v>
      </c>
      <c r="P7" s="1127"/>
      <c r="Q7" s="1127"/>
      <c r="R7" s="874"/>
      <c r="S7" s="874"/>
      <c r="T7" s="874"/>
      <c r="U7" s="874"/>
      <c r="V7" s="874"/>
      <c r="W7" s="874"/>
      <c r="X7" s="874"/>
      <c r="Y7" s="874"/>
      <c r="Z7" s="874"/>
      <c r="AA7" s="874"/>
    </row>
    <row r="8" spans="1:27" x14ac:dyDescent="0.25">
      <c r="B8" s="1128"/>
      <c r="C8" s="1131"/>
      <c r="D8" s="1128"/>
      <c r="E8" s="1128"/>
      <c r="F8" s="1128"/>
      <c r="G8" s="1128"/>
      <c r="H8" s="24"/>
      <c r="I8" s="24"/>
      <c r="J8" s="24"/>
      <c r="K8" s="24"/>
      <c r="L8" s="24"/>
      <c r="M8" s="24"/>
      <c r="N8" s="24"/>
      <c r="O8" s="24"/>
      <c r="P8" s="1128"/>
      <c r="Q8" s="1128"/>
      <c r="R8" s="874"/>
      <c r="S8" s="874"/>
      <c r="T8" s="874"/>
      <c r="U8" s="874"/>
      <c r="V8" s="874"/>
      <c r="W8" s="874"/>
      <c r="X8" s="874"/>
      <c r="Y8" s="874"/>
      <c r="Z8" s="874"/>
      <c r="AA8" s="874"/>
    </row>
    <row r="9" spans="1:27" x14ac:dyDescent="0.25">
      <c r="A9" s="61"/>
      <c r="B9" s="180">
        <v>1</v>
      </c>
      <c r="C9" s="522" t="s">
        <v>591</v>
      </c>
      <c r="D9" s="155" t="s">
        <v>21</v>
      </c>
      <c r="E9" s="155" t="s">
        <v>239</v>
      </c>
      <c r="F9" s="844"/>
      <c r="G9" s="818">
        <f>F9*Q5</f>
        <v>0</v>
      </c>
      <c r="H9" s="818">
        <f>H8*Q4</f>
        <v>0</v>
      </c>
      <c r="I9" s="818">
        <f>I8*Q4</f>
        <v>0</v>
      </c>
      <c r="J9" s="818">
        <f>J8*Q4</f>
        <v>0</v>
      </c>
      <c r="K9" s="818">
        <f>K8*Q4</f>
        <v>0</v>
      </c>
      <c r="L9" s="818">
        <f>G9*L8</f>
        <v>0</v>
      </c>
      <c r="M9" s="818">
        <f>G9*M8</f>
        <v>0</v>
      </c>
      <c r="N9" s="818">
        <f>G9*N8</f>
        <v>0</v>
      </c>
      <c r="O9" s="818">
        <f>G9*O8</f>
        <v>0</v>
      </c>
      <c r="P9" s="818">
        <f t="shared" ref="P9:P12" si="0">SUM(G9:O9)</f>
        <v>0</v>
      </c>
      <c r="Q9" s="818">
        <f>ROUND(P9/B5,0)</f>
        <v>0</v>
      </c>
      <c r="R9" s="874"/>
      <c r="S9" s="874"/>
      <c r="T9" s="874"/>
      <c r="U9" s="874"/>
      <c r="V9" s="874"/>
      <c r="W9" s="874"/>
      <c r="X9" s="874"/>
      <c r="Y9" s="874"/>
      <c r="Z9" s="874"/>
      <c r="AA9" s="874"/>
    </row>
    <row r="10" spans="1:27" x14ac:dyDescent="0.25">
      <c r="A10" s="366"/>
      <c r="B10" s="469">
        <v>2</v>
      </c>
      <c r="C10" s="436" t="s">
        <v>1103</v>
      </c>
      <c r="D10" s="448" t="s">
        <v>388</v>
      </c>
      <c r="E10" s="448" t="s">
        <v>239</v>
      </c>
      <c r="F10" s="776"/>
      <c r="G10" s="745">
        <f>F10*Q5</f>
        <v>0</v>
      </c>
      <c r="H10" s="745">
        <f>H8*Q4</f>
        <v>0</v>
      </c>
      <c r="I10" s="745">
        <f>I8*Q4</f>
        <v>0</v>
      </c>
      <c r="J10" s="745">
        <f>J8*Q4</f>
        <v>0</v>
      </c>
      <c r="K10" s="745">
        <f>K8*Q4</f>
        <v>0</v>
      </c>
      <c r="L10" s="745">
        <f>G10*L8</f>
        <v>0</v>
      </c>
      <c r="M10" s="745">
        <f>G10*M8</f>
        <v>0</v>
      </c>
      <c r="N10" s="745">
        <f>G10*N8</f>
        <v>0</v>
      </c>
      <c r="O10" s="745">
        <f>G10*O8</f>
        <v>0</v>
      </c>
      <c r="P10" s="745">
        <f t="shared" si="0"/>
        <v>0</v>
      </c>
      <c r="Q10" s="745">
        <f>ROUND(P10/B5,0)</f>
        <v>0</v>
      </c>
      <c r="R10" s="874"/>
      <c r="S10" s="874"/>
      <c r="T10" s="874"/>
      <c r="U10" s="874"/>
      <c r="V10" s="874"/>
      <c r="W10" s="874"/>
      <c r="X10" s="874"/>
      <c r="Y10" s="874"/>
      <c r="Z10" s="874"/>
      <c r="AA10" s="874"/>
    </row>
    <row r="11" spans="1:27" x14ac:dyDescent="0.25">
      <c r="A11" s="366"/>
      <c r="B11" s="469">
        <v>3</v>
      </c>
      <c r="C11" s="436" t="s">
        <v>1055</v>
      </c>
      <c r="D11" s="448" t="s">
        <v>695</v>
      </c>
      <c r="E11" s="448" t="s">
        <v>239</v>
      </c>
      <c r="F11" s="776"/>
      <c r="G11" s="745">
        <f>F11*Q5</f>
        <v>0</v>
      </c>
      <c r="H11" s="745">
        <f>H8*Q4</f>
        <v>0</v>
      </c>
      <c r="I11" s="745">
        <f>I8*Q4</f>
        <v>0</v>
      </c>
      <c r="J11" s="745">
        <f>J8*Q4</f>
        <v>0</v>
      </c>
      <c r="K11" s="745">
        <f>K8*Q4</f>
        <v>0</v>
      </c>
      <c r="L11" s="745">
        <f>G11*L8</f>
        <v>0</v>
      </c>
      <c r="M11" s="745">
        <f>G11*M8</f>
        <v>0</v>
      </c>
      <c r="N11" s="745">
        <f>G11*N8</f>
        <v>0</v>
      </c>
      <c r="O11" s="745">
        <f>G11*O8</f>
        <v>0</v>
      </c>
      <c r="P11" s="745">
        <f t="shared" si="0"/>
        <v>0</v>
      </c>
      <c r="Q11" s="745">
        <f>ROUND(P11/B5,0)</f>
        <v>0</v>
      </c>
      <c r="R11" s="874"/>
      <c r="S11" s="874"/>
      <c r="T11" s="874"/>
      <c r="U11" s="874"/>
      <c r="V11" s="874"/>
      <c r="W11" s="874"/>
      <c r="X11" s="874"/>
      <c r="Y11" s="874"/>
      <c r="Z11" s="874"/>
      <c r="AA11" s="874"/>
    </row>
    <row r="12" spans="1:27" x14ac:dyDescent="0.25">
      <c r="A12" s="899"/>
      <c r="B12" s="113">
        <v>4</v>
      </c>
      <c r="C12" s="456" t="s">
        <v>1295</v>
      </c>
      <c r="D12" s="82" t="s">
        <v>1147</v>
      </c>
      <c r="E12" s="82" t="s">
        <v>239</v>
      </c>
      <c r="F12" s="792"/>
      <c r="G12" s="767">
        <f>F12*Q5</f>
        <v>0</v>
      </c>
      <c r="H12" s="767">
        <f>H8*Q4</f>
        <v>0</v>
      </c>
      <c r="I12" s="767">
        <f>I8*Q4</f>
        <v>0</v>
      </c>
      <c r="J12" s="767">
        <f>J8*Q4</f>
        <v>0</v>
      </c>
      <c r="K12" s="767">
        <f>K8*Q4</f>
        <v>0</v>
      </c>
      <c r="L12" s="767">
        <f>G12*L8</f>
        <v>0</v>
      </c>
      <c r="M12" s="767">
        <f>G12*M8</f>
        <v>0</v>
      </c>
      <c r="N12" s="767">
        <f>G12*N8</f>
        <v>0</v>
      </c>
      <c r="O12" s="767">
        <f>G12*O8</f>
        <v>0</v>
      </c>
      <c r="P12" s="767">
        <f t="shared" si="0"/>
        <v>0</v>
      </c>
      <c r="Q12" s="767">
        <f>ROUND(P12/B5,0)</f>
        <v>0</v>
      </c>
      <c r="R12" s="874"/>
      <c r="S12" s="874"/>
      <c r="T12" s="874"/>
      <c r="U12" s="874"/>
      <c r="V12" s="874"/>
      <c r="W12" s="874"/>
      <c r="X12" s="874"/>
      <c r="Y12" s="874"/>
      <c r="Z12" s="874"/>
      <c r="AA12" s="874"/>
    </row>
    <row r="13" spans="1:27" x14ac:dyDescent="0.25">
      <c r="B13" s="874"/>
      <c r="C13" s="874"/>
      <c r="D13" s="874"/>
      <c r="E13" s="874"/>
      <c r="F13" s="874"/>
      <c r="G13" s="874"/>
      <c r="H13" s="874"/>
      <c r="I13" s="874"/>
      <c r="J13" s="874"/>
      <c r="K13" s="874"/>
      <c r="L13" s="874"/>
      <c r="M13" s="874"/>
      <c r="N13" s="874"/>
      <c r="O13" s="874"/>
      <c r="P13" s="874"/>
      <c r="Q13" s="874"/>
      <c r="R13" s="874"/>
      <c r="S13" s="874"/>
      <c r="T13" s="874"/>
      <c r="U13" s="874"/>
      <c r="V13" s="874"/>
      <c r="W13" s="874"/>
      <c r="X13" s="874"/>
      <c r="Y13" s="874"/>
      <c r="Z13" s="874"/>
      <c r="AA13" s="874"/>
    </row>
    <row r="14" spans="1:27" x14ac:dyDescent="0.25">
      <c r="B14" s="874"/>
      <c r="C14" s="874"/>
      <c r="D14" s="874"/>
      <c r="E14" s="874"/>
      <c r="F14" s="874"/>
      <c r="G14" s="874"/>
      <c r="H14" s="874"/>
      <c r="I14" s="874"/>
      <c r="J14" s="874"/>
      <c r="K14" s="874"/>
      <c r="L14" s="874"/>
      <c r="M14" s="874"/>
      <c r="N14" s="874"/>
      <c r="O14" s="874"/>
      <c r="P14" s="874"/>
      <c r="Q14" s="874"/>
      <c r="R14" s="874"/>
      <c r="S14" s="874"/>
      <c r="T14" s="874"/>
      <c r="U14" s="874"/>
      <c r="V14" s="874"/>
      <c r="W14" s="874"/>
      <c r="X14" s="874"/>
      <c r="Y14" s="874"/>
      <c r="Z14" s="874"/>
      <c r="AA14" s="874"/>
    </row>
  </sheetData>
  <mergeCells count="12">
    <mergeCell ref="P6:P8"/>
    <mergeCell ref="Q6:Q8"/>
    <mergeCell ref="A1:Q1"/>
    <mergeCell ref="A2:Q2"/>
    <mergeCell ref="A3:Q3"/>
    <mergeCell ref="B6:B8"/>
    <mergeCell ref="C6:C8"/>
    <mergeCell ref="D6:D8"/>
    <mergeCell ref="E6:E8"/>
    <mergeCell ref="F6:F8"/>
    <mergeCell ref="G6:G8"/>
    <mergeCell ref="H6:O6"/>
  </mergeCells>
  <pageMargins left="1.18" right="0.59" top="0.79" bottom="0.79" header="0.3" footer="0.3"/>
  <pageSetup orientation="landscape" horizontalDpi="6553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5"/>
  </sheetPr>
  <dimension ref="A1:AA21"/>
  <sheetViews>
    <sheetView showZeros="0" topLeftCell="B1" workbookViewId="0">
      <selection activeCell="E12" sqref="E12"/>
    </sheetView>
  </sheetViews>
  <sheetFormatPr defaultColWidth="9.140625" defaultRowHeight="15" x14ac:dyDescent="0.25"/>
  <cols>
    <col min="1" max="1" width="2.28515625" style="794" hidden="1" customWidth="1"/>
    <col min="2" max="2" width="4.7109375" style="794" bestFit="1" customWidth="1"/>
    <col min="3" max="3" width="6.7109375" style="794" bestFit="1" customWidth="1"/>
    <col min="4" max="4" width="9.42578125" style="794" hidden="1" customWidth="1"/>
    <col min="5" max="5" width="77.28515625" style="794" customWidth="1"/>
    <col min="6" max="6" width="10" style="794" customWidth="1"/>
    <col min="7" max="8" width="10.5703125" style="794" customWidth="1"/>
    <col min="9" max="9" width="10.7109375" style="794" hidden="1" customWidth="1"/>
    <col min="10" max="10" width="13.140625" style="794" hidden="1" customWidth="1"/>
    <col min="11" max="11" width="9.42578125" style="794" hidden="1" customWidth="1"/>
    <col min="12" max="12" width="9" style="794" hidden="1" customWidth="1"/>
    <col min="13" max="13" width="12.5703125" style="794" hidden="1" customWidth="1"/>
    <col min="14" max="14" width="12.85546875" style="794" hidden="1" customWidth="1"/>
    <col min="15" max="15" width="14.85546875" style="794" hidden="1" customWidth="1"/>
    <col min="16" max="16384" width="9.140625" style="794"/>
  </cols>
  <sheetData>
    <row r="1" spans="1:27" ht="18.75" x14ac:dyDescent="0.3">
      <c r="B1" s="1081" t="s">
        <v>1182</v>
      </c>
      <c r="C1" s="1081"/>
      <c r="D1" s="1081"/>
      <c r="E1" s="1081"/>
      <c r="F1" s="1081"/>
      <c r="G1" s="1081"/>
      <c r="H1" s="1081"/>
      <c r="I1" s="1081"/>
      <c r="J1" s="1081"/>
      <c r="K1" s="1081"/>
      <c r="L1" s="1081"/>
      <c r="M1" s="1081"/>
      <c r="N1" s="1081"/>
      <c r="O1" s="1081"/>
    </row>
    <row r="2" spans="1:27" x14ac:dyDescent="0.25">
      <c r="B2" s="1097" t="s">
        <v>937</v>
      </c>
      <c r="C2" s="1097"/>
      <c r="D2" s="1097"/>
      <c r="E2" s="1097"/>
      <c r="F2" s="1097"/>
      <c r="G2" s="1097"/>
      <c r="H2" s="1097"/>
      <c r="I2" s="1097"/>
      <c r="J2" s="1097"/>
      <c r="K2" s="1097"/>
      <c r="L2" s="1097"/>
      <c r="M2" s="1097"/>
      <c r="N2" s="1097"/>
      <c r="O2" s="1097"/>
    </row>
    <row r="3" spans="1:27" x14ac:dyDescent="0.25">
      <c r="B3" s="1132" t="s">
        <v>354</v>
      </c>
      <c r="C3" s="1132"/>
      <c r="D3" s="1132"/>
      <c r="E3" s="1132"/>
      <c r="F3" s="1132"/>
      <c r="G3" s="1132"/>
      <c r="H3" s="1132"/>
      <c r="I3" s="1132"/>
      <c r="J3" s="1132"/>
      <c r="K3" s="1132"/>
      <c r="L3" s="1132"/>
      <c r="M3" s="1132"/>
      <c r="N3" s="1132"/>
      <c r="O3" s="1132"/>
    </row>
    <row r="4" spans="1:27" ht="20.25" customHeight="1" x14ac:dyDescent="0.25">
      <c r="B4" s="615" t="s">
        <v>1323</v>
      </c>
      <c r="C4" s="615" t="s">
        <v>686</v>
      </c>
      <c r="D4" s="615"/>
      <c r="E4" s="615" t="s">
        <v>513</v>
      </c>
      <c r="F4" s="615" t="s">
        <v>1301</v>
      </c>
      <c r="G4" s="615" t="s">
        <v>1446</v>
      </c>
      <c r="H4" s="615" t="s">
        <v>785</v>
      </c>
      <c r="I4" s="615" t="s">
        <v>860</v>
      </c>
      <c r="J4" s="615" t="s">
        <v>965</v>
      </c>
      <c r="K4" s="615" t="s">
        <v>1310</v>
      </c>
      <c r="L4" s="615" t="s">
        <v>165</v>
      </c>
      <c r="M4" s="615" t="s">
        <v>953</v>
      </c>
      <c r="N4" s="615" t="s">
        <v>274</v>
      </c>
      <c r="O4" s="615" t="s">
        <v>1192</v>
      </c>
      <c r="P4" s="874"/>
      <c r="Q4" s="874"/>
      <c r="R4" s="874"/>
      <c r="S4" s="874"/>
      <c r="T4" s="874"/>
      <c r="U4" s="874"/>
      <c r="V4" s="874"/>
      <c r="W4" s="874"/>
      <c r="X4" s="874"/>
      <c r="Y4" s="874"/>
      <c r="Z4" s="874"/>
      <c r="AA4" s="874"/>
    </row>
    <row r="5" spans="1:27" x14ac:dyDescent="0.25">
      <c r="A5" s="61"/>
      <c r="B5" s="180">
        <v>1</v>
      </c>
      <c r="C5" s="155" t="s">
        <v>445</v>
      </c>
      <c r="D5" s="155"/>
      <c r="E5" s="155" t="s">
        <v>255</v>
      </c>
      <c r="F5" s="180" t="s">
        <v>1272</v>
      </c>
      <c r="G5" s="412">
        <v>21147</v>
      </c>
      <c r="H5" s="368">
        <v>21147</v>
      </c>
      <c r="I5" s="251">
        <v>1</v>
      </c>
      <c r="J5" s="818">
        <f t="shared" ref="J5:J19" si="0">H5*I5</f>
        <v>21147</v>
      </c>
      <c r="K5" s="818">
        <v>0</v>
      </c>
      <c r="L5" s="818">
        <v>0</v>
      </c>
      <c r="M5" s="818">
        <v>0</v>
      </c>
      <c r="N5" s="818">
        <f t="shared" ref="N5:N19" si="1">SUM(K5:M5)</f>
        <v>0</v>
      </c>
      <c r="O5" s="818">
        <f t="shared" ref="O5:O19" si="2">H5</f>
        <v>21147</v>
      </c>
      <c r="P5" s="874"/>
      <c r="Q5" s="874"/>
      <c r="R5" s="874"/>
      <c r="S5" s="874"/>
      <c r="T5" s="874"/>
      <c r="U5" s="874"/>
      <c r="V5" s="874"/>
      <c r="W5" s="874"/>
      <c r="X5" s="874"/>
      <c r="Y5" s="874"/>
      <c r="Z5" s="874"/>
      <c r="AA5" s="874"/>
    </row>
    <row r="6" spans="1:27" x14ac:dyDescent="0.25">
      <c r="A6" s="366"/>
      <c r="B6" s="469">
        <v>2</v>
      </c>
      <c r="C6" s="448" t="s">
        <v>701</v>
      </c>
      <c r="D6" s="448"/>
      <c r="E6" s="448" t="s">
        <v>1460</v>
      </c>
      <c r="F6" s="469" t="s">
        <v>1272</v>
      </c>
      <c r="G6" s="710">
        <v>1630308</v>
      </c>
      <c r="H6" s="273">
        <v>1630308</v>
      </c>
      <c r="I6" s="175">
        <v>1</v>
      </c>
      <c r="J6" s="745">
        <f t="shared" si="0"/>
        <v>1630308</v>
      </c>
      <c r="K6" s="745">
        <v>0</v>
      </c>
      <c r="L6" s="745">
        <v>0</v>
      </c>
      <c r="M6" s="745">
        <v>0</v>
      </c>
      <c r="N6" s="745">
        <f t="shared" si="1"/>
        <v>0</v>
      </c>
      <c r="O6" s="745">
        <f t="shared" si="2"/>
        <v>1630308</v>
      </c>
      <c r="P6" s="874"/>
      <c r="Q6" s="874"/>
      <c r="R6" s="874"/>
      <c r="S6" s="874"/>
      <c r="T6" s="874"/>
      <c r="U6" s="874"/>
      <c r="V6" s="874"/>
      <c r="W6" s="874"/>
      <c r="X6" s="874"/>
      <c r="Y6" s="874"/>
      <c r="Z6" s="874"/>
      <c r="AA6" s="874"/>
    </row>
    <row r="7" spans="1:27" x14ac:dyDescent="0.25">
      <c r="A7" s="366"/>
      <c r="B7" s="469">
        <v>3</v>
      </c>
      <c r="C7" s="448" t="s">
        <v>369</v>
      </c>
      <c r="D7" s="448"/>
      <c r="E7" s="448" t="s">
        <v>356</v>
      </c>
      <c r="F7" s="469" t="s">
        <v>1272</v>
      </c>
      <c r="G7" s="710">
        <v>316717</v>
      </c>
      <c r="H7" s="273">
        <v>316717</v>
      </c>
      <c r="I7" s="175">
        <v>1</v>
      </c>
      <c r="J7" s="745">
        <f t="shared" si="0"/>
        <v>316717</v>
      </c>
      <c r="K7" s="745">
        <v>0</v>
      </c>
      <c r="L7" s="745">
        <v>0</v>
      </c>
      <c r="M7" s="745">
        <v>0</v>
      </c>
      <c r="N7" s="745">
        <f t="shared" si="1"/>
        <v>0</v>
      </c>
      <c r="O7" s="745">
        <f t="shared" si="2"/>
        <v>316717</v>
      </c>
      <c r="P7" s="874"/>
      <c r="Q7" s="874"/>
      <c r="R7" s="874"/>
      <c r="S7" s="874"/>
      <c r="T7" s="874"/>
      <c r="U7" s="874"/>
      <c r="V7" s="874"/>
      <c r="W7" s="874"/>
      <c r="X7" s="874"/>
      <c r="Y7" s="874"/>
      <c r="Z7" s="874"/>
      <c r="AA7" s="874"/>
    </row>
    <row r="8" spans="1:27" x14ac:dyDescent="0.25">
      <c r="A8" s="366"/>
      <c r="B8" s="469">
        <v>4</v>
      </c>
      <c r="C8" s="448" t="s">
        <v>1395</v>
      </c>
      <c r="D8" s="448"/>
      <c r="E8" s="448" t="s">
        <v>838</v>
      </c>
      <c r="F8" s="469" t="s">
        <v>1272</v>
      </c>
      <c r="G8" s="710">
        <v>276871</v>
      </c>
      <c r="H8" s="273">
        <v>276871</v>
      </c>
      <c r="I8" s="175">
        <v>1</v>
      </c>
      <c r="J8" s="745">
        <f t="shared" si="0"/>
        <v>276871</v>
      </c>
      <c r="K8" s="745">
        <v>0</v>
      </c>
      <c r="L8" s="745">
        <v>0</v>
      </c>
      <c r="M8" s="745">
        <v>0</v>
      </c>
      <c r="N8" s="745">
        <f t="shared" si="1"/>
        <v>0</v>
      </c>
      <c r="O8" s="745">
        <f t="shared" si="2"/>
        <v>276871</v>
      </c>
      <c r="P8" s="874"/>
      <c r="Q8" s="874"/>
      <c r="R8" s="874"/>
      <c r="S8" s="874"/>
      <c r="T8" s="874"/>
      <c r="U8" s="874"/>
      <c r="V8" s="874"/>
      <c r="W8" s="874"/>
      <c r="X8" s="874"/>
      <c r="Y8" s="874"/>
      <c r="Z8" s="874"/>
      <c r="AA8" s="874"/>
    </row>
    <row r="9" spans="1:27" x14ac:dyDescent="0.25">
      <c r="A9" s="366"/>
      <c r="B9" s="469">
        <v>5</v>
      </c>
      <c r="C9" s="448" t="s">
        <v>928</v>
      </c>
      <c r="D9" s="448"/>
      <c r="E9" s="448" t="s">
        <v>195</v>
      </c>
      <c r="F9" s="469" t="s">
        <v>1272</v>
      </c>
      <c r="G9" s="710">
        <v>850000</v>
      </c>
      <c r="H9" s="273">
        <v>850000</v>
      </c>
      <c r="I9" s="175">
        <v>1</v>
      </c>
      <c r="J9" s="745">
        <f t="shared" si="0"/>
        <v>850000</v>
      </c>
      <c r="K9" s="745">
        <v>0</v>
      </c>
      <c r="L9" s="745">
        <v>0</v>
      </c>
      <c r="M9" s="745">
        <v>0</v>
      </c>
      <c r="N9" s="745">
        <f t="shared" si="1"/>
        <v>0</v>
      </c>
      <c r="O9" s="745">
        <f t="shared" si="2"/>
        <v>850000</v>
      </c>
      <c r="P9" s="874"/>
      <c r="Q9" s="874"/>
      <c r="R9" s="874"/>
      <c r="S9" s="874"/>
      <c r="T9" s="874"/>
      <c r="U9" s="874"/>
      <c r="V9" s="874"/>
      <c r="W9" s="874"/>
      <c r="X9" s="874"/>
      <c r="Y9" s="874"/>
      <c r="Z9" s="874"/>
      <c r="AA9" s="874"/>
    </row>
    <row r="10" spans="1:27" x14ac:dyDescent="0.25">
      <c r="A10" s="366"/>
      <c r="B10" s="469">
        <v>6</v>
      </c>
      <c r="C10" s="448" t="s">
        <v>1341</v>
      </c>
      <c r="D10" s="448"/>
      <c r="E10" s="448" t="s">
        <v>571</v>
      </c>
      <c r="F10" s="469" t="s">
        <v>1272</v>
      </c>
      <c r="G10" s="710">
        <v>281279</v>
      </c>
      <c r="H10" s="273">
        <v>281279</v>
      </c>
      <c r="I10" s="175">
        <v>1</v>
      </c>
      <c r="J10" s="745">
        <f t="shared" si="0"/>
        <v>281279</v>
      </c>
      <c r="K10" s="745">
        <v>0</v>
      </c>
      <c r="L10" s="745">
        <v>0</v>
      </c>
      <c r="M10" s="745">
        <v>0</v>
      </c>
      <c r="N10" s="745">
        <f t="shared" si="1"/>
        <v>0</v>
      </c>
      <c r="O10" s="745">
        <f t="shared" si="2"/>
        <v>281279</v>
      </c>
      <c r="P10" s="874"/>
      <c r="Q10" s="874"/>
      <c r="R10" s="874"/>
      <c r="S10" s="874"/>
      <c r="T10" s="874"/>
      <c r="U10" s="874"/>
      <c r="V10" s="874"/>
      <c r="W10" s="874"/>
      <c r="X10" s="874"/>
      <c r="Y10" s="874"/>
      <c r="Z10" s="874"/>
      <c r="AA10" s="874"/>
    </row>
    <row r="11" spans="1:27" x14ac:dyDescent="0.25">
      <c r="A11" s="366"/>
      <c r="B11" s="469">
        <v>7</v>
      </c>
      <c r="C11" s="448" t="s">
        <v>921</v>
      </c>
      <c r="D11" s="448"/>
      <c r="E11" s="448" t="s">
        <v>267</v>
      </c>
      <c r="F11" s="469" t="s">
        <v>1272</v>
      </c>
      <c r="G11" s="710">
        <v>2800000</v>
      </c>
      <c r="H11" s="273">
        <v>2800000</v>
      </c>
      <c r="I11" s="175">
        <v>1</v>
      </c>
      <c r="J11" s="745">
        <f t="shared" si="0"/>
        <v>2800000</v>
      </c>
      <c r="K11" s="745">
        <v>0</v>
      </c>
      <c r="L11" s="745">
        <v>0</v>
      </c>
      <c r="M11" s="745">
        <v>0</v>
      </c>
      <c r="N11" s="745">
        <f t="shared" si="1"/>
        <v>0</v>
      </c>
      <c r="O11" s="745">
        <f t="shared" si="2"/>
        <v>2800000</v>
      </c>
      <c r="P11" s="874"/>
      <c r="Q11" s="874"/>
      <c r="R11" s="874"/>
      <c r="S11" s="874"/>
      <c r="T11" s="874"/>
      <c r="U11" s="874"/>
      <c r="V11" s="874"/>
      <c r="W11" s="874"/>
      <c r="X11" s="874"/>
      <c r="Y11" s="874"/>
      <c r="Z11" s="874"/>
      <c r="AA11" s="874"/>
    </row>
    <row r="12" spans="1:27" x14ac:dyDescent="0.25">
      <c r="A12" s="366"/>
      <c r="B12" s="469">
        <v>8</v>
      </c>
      <c r="C12" s="448" t="s">
        <v>68</v>
      </c>
      <c r="D12" s="448"/>
      <c r="E12" s="448" t="s">
        <v>1060</v>
      </c>
      <c r="F12" s="469" t="s">
        <v>1272</v>
      </c>
      <c r="G12" s="710">
        <v>8635148</v>
      </c>
      <c r="H12" s="273">
        <v>8635148</v>
      </c>
      <c r="I12" s="175">
        <v>1</v>
      </c>
      <c r="J12" s="745">
        <f t="shared" si="0"/>
        <v>8635148</v>
      </c>
      <c r="K12" s="745">
        <v>0</v>
      </c>
      <c r="L12" s="745">
        <v>0</v>
      </c>
      <c r="M12" s="745">
        <v>0</v>
      </c>
      <c r="N12" s="745">
        <f t="shared" si="1"/>
        <v>0</v>
      </c>
      <c r="O12" s="745">
        <f t="shared" si="2"/>
        <v>8635148</v>
      </c>
      <c r="P12" s="874"/>
      <c r="Q12" s="874"/>
      <c r="R12" s="874"/>
      <c r="S12" s="874"/>
      <c r="T12" s="874"/>
      <c r="U12" s="874"/>
      <c r="V12" s="874"/>
      <c r="W12" s="874"/>
      <c r="X12" s="874"/>
      <c r="Y12" s="874"/>
      <c r="Z12" s="874"/>
      <c r="AA12" s="874"/>
    </row>
    <row r="13" spans="1:27" x14ac:dyDescent="0.25">
      <c r="A13" s="366"/>
      <c r="B13" s="469">
        <v>9</v>
      </c>
      <c r="C13" s="448" t="s">
        <v>1203</v>
      </c>
      <c r="D13" s="448"/>
      <c r="E13" s="448" t="s">
        <v>395</v>
      </c>
      <c r="F13" s="469" t="s">
        <v>1272</v>
      </c>
      <c r="G13" s="710">
        <v>426986</v>
      </c>
      <c r="H13" s="273">
        <v>426986</v>
      </c>
      <c r="I13" s="175">
        <v>1</v>
      </c>
      <c r="J13" s="745">
        <f t="shared" si="0"/>
        <v>426986</v>
      </c>
      <c r="K13" s="745">
        <v>0</v>
      </c>
      <c r="L13" s="745">
        <v>0</v>
      </c>
      <c r="M13" s="745">
        <v>0</v>
      </c>
      <c r="N13" s="745">
        <f t="shared" si="1"/>
        <v>0</v>
      </c>
      <c r="O13" s="745">
        <f t="shared" si="2"/>
        <v>426986</v>
      </c>
      <c r="P13" s="874"/>
      <c r="Q13" s="874"/>
      <c r="R13" s="874"/>
      <c r="S13" s="874"/>
      <c r="T13" s="874"/>
      <c r="U13" s="874"/>
      <c r="V13" s="874"/>
      <c r="W13" s="874"/>
      <c r="X13" s="874"/>
      <c r="Y13" s="874"/>
      <c r="Z13" s="874"/>
      <c r="AA13" s="874"/>
    </row>
    <row r="14" spans="1:27" x14ac:dyDescent="0.25">
      <c r="A14" s="366"/>
      <c r="B14" s="469">
        <v>10</v>
      </c>
      <c r="C14" s="448" t="s">
        <v>402</v>
      </c>
      <c r="D14" s="448"/>
      <c r="E14" s="448" t="s">
        <v>1459</v>
      </c>
      <c r="F14" s="469" t="s">
        <v>1272</v>
      </c>
      <c r="G14" s="710">
        <v>1151395</v>
      </c>
      <c r="H14" s="273">
        <v>1151395</v>
      </c>
      <c r="I14" s="175">
        <v>1</v>
      </c>
      <c r="J14" s="745">
        <f t="shared" si="0"/>
        <v>1151395</v>
      </c>
      <c r="K14" s="745">
        <v>0</v>
      </c>
      <c r="L14" s="745">
        <v>0</v>
      </c>
      <c r="M14" s="745">
        <v>0</v>
      </c>
      <c r="N14" s="745">
        <f t="shared" si="1"/>
        <v>0</v>
      </c>
      <c r="O14" s="745">
        <f t="shared" si="2"/>
        <v>1151395</v>
      </c>
      <c r="P14" s="874"/>
      <c r="Q14" s="874"/>
      <c r="R14" s="874"/>
      <c r="S14" s="874"/>
      <c r="T14" s="874"/>
      <c r="U14" s="874"/>
      <c r="V14" s="874"/>
      <c r="W14" s="874"/>
      <c r="X14" s="874"/>
      <c r="Y14" s="874"/>
      <c r="Z14" s="874"/>
      <c r="AA14" s="874"/>
    </row>
    <row r="15" spans="1:27" x14ac:dyDescent="0.25">
      <c r="A15" s="366"/>
      <c r="B15" s="469">
        <v>11</v>
      </c>
      <c r="C15" s="448" t="s">
        <v>647</v>
      </c>
      <c r="D15" s="448"/>
      <c r="E15" s="448" t="s">
        <v>166</v>
      </c>
      <c r="F15" s="469" t="s">
        <v>1272</v>
      </c>
      <c r="G15" s="710">
        <v>1184116</v>
      </c>
      <c r="H15" s="273">
        <v>1184116</v>
      </c>
      <c r="I15" s="175">
        <v>1</v>
      </c>
      <c r="J15" s="745">
        <f t="shared" si="0"/>
        <v>1184116</v>
      </c>
      <c r="K15" s="745">
        <v>0</v>
      </c>
      <c r="L15" s="745">
        <v>0</v>
      </c>
      <c r="M15" s="745">
        <v>0</v>
      </c>
      <c r="N15" s="745">
        <f t="shared" si="1"/>
        <v>0</v>
      </c>
      <c r="O15" s="745">
        <f t="shared" si="2"/>
        <v>1184116</v>
      </c>
      <c r="P15" s="874"/>
      <c r="Q15" s="874"/>
      <c r="R15" s="874"/>
      <c r="S15" s="874"/>
      <c r="T15" s="874"/>
      <c r="U15" s="874"/>
      <c r="V15" s="874"/>
      <c r="W15" s="874"/>
      <c r="X15" s="874"/>
      <c r="Y15" s="874"/>
      <c r="Z15" s="874"/>
      <c r="AA15" s="874"/>
    </row>
    <row r="16" spans="1:27" x14ac:dyDescent="0.25">
      <c r="A16" s="366"/>
      <c r="B16" s="469">
        <v>12</v>
      </c>
      <c r="C16" s="448" t="s">
        <v>698</v>
      </c>
      <c r="D16" s="448"/>
      <c r="E16" s="448" t="s">
        <v>606</v>
      </c>
      <c r="F16" s="469" t="s">
        <v>1272</v>
      </c>
      <c r="G16" s="710">
        <v>326306</v>
      </c>
      <c r="H16" s="273">
        <v>326306</v>
      </c>
      <c r="I16" s="175">
        <v>1</v>
      </c>
      <c r="J16" s="745">
        <f t="shared" si="0"/>
        <v>326306</v>
      </c>
      <c r="K16" s="745">
        <v>0</v>
      </c>
      <c r="L16" s="745">
        <v>0</v>
      </c>
      <c r="M16" s="745">
        <v>0</v>
      </c>
      <c r="N16" s="745">
        <f t="shared" si="1"/>
        <v>0</v>
      </c>
      <c r="O16" s="745">
        <f t="shared" si="2"/>
        <v>326306</v>
      </c>
      <c r="P16" s="874"/>
      <c r="Q16" s="874"/>
      <c r="R16" s="874"/>
      <c r="S16" s="874"/>
      <c r="T16" s="874"/>
      <c r="U16" s="874"/>
      <c r="V16" s="874"/>
      <c r="W16" s="874"/>
      <c r="X16" s="874"/>
      <c r="Y16" s="874"/>
      <c r="Z16" s="874"/>
      <c r="AA16" s="874"/>
    </row>
    <row r="17" spans="1:27" x14ac:dyDescent="0.25">
      <c r="A17" s="366"/>
      <c r="B17" s="469">
        <v>13</v>
      </c>
      <c r="C17" s="448" t="s">
        <v>111</v>
      </c>
      <c r="D17" s="448"/>
      <c r="E17" s="448" t="s">
        <v>1289</v>
      </c>
      <c r="F17" s="469" t="s">
        <v>1272</v>
      </c>
      <c r="G17" s="710">
        <v>2347866</v>
      </c>
      <c r="H17" s="273">
        <v>2347866</v>
      </c>
      <c r="I17" s="175">
        <v>1</v>
      </c>
      <c r="J17" s="745">
        <f t="shared" si="0"/>
        <v>2347866</v>
      </c>
      <c r="K17" s="745">
        <v>0</v>
      </c>
      <c r="L17" s="745">
        <v>0</v>
      </c>
      <c r="M17" s="745">
        <v>0</v>
      </c>
      <c r="N17" s="745">
        <f t="shared" si="1"/>
        <v>0</v>
      </c>
      <c r="O17" s="745">
        <f t="shared" si="2"/>
        <v>2347866</v>
      </c>
      <c r="P17" s="874"/>
      <c r="Q17" s="874"/>
      <c r="R17" s="874"/>
      <c r="S17" s="874"/>
      <c r="T17" s="874"/>
      <c r="U17" s="874"/>
      <c r="V17" s="874"/>
      <c r="W17" s="874"/>
      <c r="X17" s="874"/>
      <c r="Y17" s="874"/>
      <c r="Z17" s="874"/>
      <c r="AA17" s="874"/>
    </row>
    <row r="18" spans="1:27" x14ac:dyDescent="0.25">
      <c r="A18" s="366"/>
      <c r="B18" s="469">
        <v>14</v>
      </c>
      <c r="C18" s="448" t="s">
        <v>691</v>
      </c>
      <c r="D18" s="448"/>
      <c r="E18" s="448" t="s">
        <v>55</v>
      </c>
      <c r="F18" s="469" t="s">
        <v>1272</v>
      </c>
      <c r="G18" s="710">
        <v>2000000</v>
      </c>
      <c r="H18" s="273">
        <v>2000000</v>
      </c>
      <c r="I18" s="175">
        <v>1</v>
      </c>
      <c r="J18" s="745">
        <f t="shared" si="0"/>
        <v>2000000</v>
      </c>
      <c r="K18" s="745">
        <v>0</v>
      </c>
      <c r="L18" s="745">
        <v>0</v>
      </c>
      <c r="M18" s="745">
        <v>0</v>
      </c>
      <c r="N18" s="745">
        <f t="shared" si="1"/>
        <v>0</v>
      </c>
      <c r="O18" s="745">
        <f t="shared" si="2"/>
        <v>2000000</v>
      </c>
      <c r="P18" s="874"/>
      <c r="Q18" s="874"/>
      <c r="R18" s="874"/>
      <c r="S18" s="874"/>
      <c r="T18" s="874"/>
      <c r="U18" s="874"/>
      <c r="V18" s="874"/>
      <c r="W18" s="874"/>
      <c r="X18" s="874"/>
      <c r="Y18" s="874"/>
      <c r="Z18" s="874"/>
      <c r="AA18" s="874"/>
    </row>
    <row r="19" spans="1:27" x14ac:dyDescent="0.25">
      <c r="A19" s="899"/>
      <c r="B19" s="113">
        <v>15</v>
      </c>
      <c r="C19" s="82" t="s">
        <v>1073</v>
      </c>
      <c r="D19" s="82"/>
      <c r="E19" s="82" t="s">
        <v>328</v>
      </c>
      <c r="F19" s="113" t="s">
        <v>1272</v>
      </c>
      <c r="G19" s="356">
        <v>1152070</v>
      </c>
      <c r="H19" s="299">
        <v>1152070</v>
      </c>
      <c r="I19" s="192">
        <v>1</v>
      </c>
      <c r="J19" s="767">
        <f t="shared" si="0"/>
        <v>1152070</v>
      </c>
      <c r="K19" s="767">
        <v>0</v>
      </c>
      <c r="L19" s="767">
        <v>0</v>
      </c>
      <c r="M19" s="767">
        <v>0</v>
      </c>
      <c r="N19" s="767">
        <f t="shared" si="1"/>
        <v>0</v>
      </c>
      <c r="O19" s="767">
        <f t="shared" si="2"/>
        <v>1152070</v>
      </c>
      <c r="P19" s="874"/>
      <c r="Q19" s="874"/>
      <c r="R19" s="874"/>
      <c r="S19" s="874"/>
      <c r="T19" s="874"/>
      <c r="U19" s="874"/>
      <c r="V19" s="874"/>
      <c r="W19" s="874"/>
      <c r="X19" s="874"/>
      <c r="Y19" s="874"/>
      <c r="Z19" s="874"/>
      <c r="AA19" s="874"/>
    </row>
    <row r="20" spans="1:27" x14ac:dyDescent="0.25">
      <c r="B20" s="874"/>
      <c r="C20" s="874"/>
      <c r="D20" s="874"/>
      <c r="E20" s="874"/>
      <c r="F20" s="874"/>
      <c r="G20" s="874"/>
      <c r="H20" s="874"/>
      <c r="I20" s="874"/>
      <c r="J20" s="874"/>
      <c r="K20" s="874"/>
      <c r="L20" s="874"/>
      <c r="M20" s="874"/>
      <c r="N20" s="874"/>
      <c r="O20" s="874"/>
      <c r="P20" s="874"/>
      <c r="Q20" s="874"/>
      <c r="R20" s="874"/>
      <c r="S20" s="874"/>
      <c r="T20" s="874"/>
      <c r="U20" s="874"/>
      <c r="V20" s="874"/>
      <c r="W20" s="874"/>
      <c r="X20" s="874"/>
      <c r="Y20" s="874"/>
      <c r="Z20" s="874"/>
      <c r="AA20" s="874"/>
    </row>
    <row r="21" spans="1:27" x14ac:dyDescent="0.25">
      <c r="B21" s="874"/>
      <c r="C21" s="874"/>
      <c r="D21" s="874"/>
      <c r="E21" s="874"/>
      <c r="F21" s="874"/>
      <c r="G21" s="874"/>
      <c r="H21" s="874"/>
      <c r="I21" s="874"/>
      <c r="J21" s="874"/>
      <c r="K21" s="874"/>
      <c r="L21" s="874"/>
      <c r="M21" s="874"/>
      <c r="N21" s="874"/>
      <c r="O21" s="874"/>
      <c r="P21" s="874"/>
      <c r="Q21" s="874"/>
      <c r="R21" s="874"/>
      <c r="S21" s="874"/>
      <c r="T21" s="874"/>
      <c r="U21" s="874"/>
      <c r="V21" s="874"/>
      <c r="W21" s="874"/>
      <c r="X21" s="874"/>
      <c r="Y21" s="874"/>
      <c r="Z21" s="874"/>
      <c r="AA21" s="874"/>
    </row>
  </sheetData>
  <mergeCells count="3">
    <mergeCell ref="B1:O1"/>
    <mergeCell ref="B2:O2"/>
    <mergeCell ref="B3:O3"/>
  </mergeCells>
  <conditionalFormatting sqref="G5:H19">
    <cfRule type="cellIs" dxfId="5" priority="2" stopIfTrue="1" operator="equal">
      <formula>0</formula>
    </cfRule>
  </conditionalFormatting>
  <conditionalFormatting sqref="I5:I20">
    <cfRule type="cellIs" dxfId="4" priority="1" stopIfTrue="1" operator="equal">
      <formula>1</formula>
    </cfRule>
  </conditionalFormatting>
  <pageMargins left="1.0900000000000001" right="0.75" top="0.79" bottom="0.79" header="0.3" footer="0.3"/>
  <pageSetup paperSize="9" orientation="landscape" useFirstPageNumber="1" r:id="rId1"/>
  <headerFooter>
    <oddFooter>&amp;CTrang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45"/>
  </sheetPr>
  <dimension ref="A1:AH53"/>
  <sheetViews>
    <sheetView showZeros="0" tabSelected="1" topLeftCell="B2" workbookViewId="0">
      <selection activeCell="J18" sqref="J18"/>
    </sheetView>
  </sheetViews>
  <sheetFormatPr defaultColWidth="9.140625" defaultRowHeight="15" x14ac:dyDescent="0.25"/>
  <cols>
    <col min="1" max="1" width="6.5703125" style="794" customWidth="1"/>
    <col min="2" max="2" width="4.7109375" style="794" bestFit="1" customWidth="1"/>
    <col min="3" max="3" width="9" style="794" bestFit="1" customWidth="1"/>
    <col min="4" max="4" width="10.28515625" style="794" hidden="1" customWidth="1"/>
    <col min="5" max="5" width="46.28515625" style="794" customWidth="1"/>
    <col min="6" max="6" width="12.28515625" style="794" customWidth="1"/>
    <col min="7" max="7" width="9.5703125" style="794" hidden="1" customWidth="1"/>
    <col min="8" max="8" width="10" style="794" hidden="1" customWidth="1"/>
    <col min="9" max="9" width="9.140625" style="794" hidden="1" customWidth="1"/>
    <col min="10" max="10" width="16.28515625" style="794" customWidth="1"/>
    <col min="11" max="11" width="14.7109375" style="794" hidden="1" customWidth="1"/>
    <col min="12" max="12" width="14.5703125" style="794" hidden="1" customWidth="1"/>
    <col min="13" max="13" width="9.42578125" style="794" hidden="1" customWidth="1"/>
    <col min="14" max="15" width="12.5703125" style="794" hidden="1" customWidth="1"/>
    <col min="16" max="16" width="12.42578125" style="794" hidden="1" customWidth="1"/>
    <col min="17" max="17" width="9.140625" style="794" hidden="1" customWidth="1"/>
    <col min="18" max="18" width="12.28515625" style="794" hidden="1" customWidth="1"/>
    <col min="19" max="19" width="11.7109375" style="794" hidden="1" customWidth="1"/>
    <col min="20" max="20" width="11.85546875" style="794" hidden="1" customWidth="1"/>
    <col min="21" max="21" width="13.5703125" style="794" hidden="1" customWidth="1"/>
    <col min="22" max="22" width="9.85546875" style="794" hidden="1" customWidth="1"/>
    <col min="23" max="23" width="12.140625" style="794" hidden="1" customWidth="1"/>
    <col min="24" max="25" width="16.28515625" style="794" customWidth="1"/>
    <col min="26" max="26" width="11.7109375" style="794" hidden="1" customWidth="1"/>
    <col min="27" max="27" width="13.85546875" style="794" hidden="1" customWidth="1"/>
    <col min="28" max="34" width="9.140625" style="794" hidden="1" customWidth="1"/>
    <col min="35" max="16384" width="9.140625" style="794"/>
  </cols>
  <sheetData>
    <row r="1" spans="1:27" ht="18.75" x14ac:dyDescent="0.3">
      <c r="A1" s="1081" t="s">
        <v>1177</v>
      </c>
      <c r="B1" s="1081" t="s">
        <v>1177</v>
      </c>
      <c r="C1" s="1081" t="s">
        <v>1177</v>
      </c>
      <c r="D1" s="1081" t="s">
        <v>1177</v>
      </c>
      <c r="E1" s="1081" t="s">
        <v>1177</v>
      </c>
      <c r="F1" s="1081" t="s">
        <v>1177</v>
      </c>
      <c r="G1" s="1081" t="s">
        <v>1177</v>
      </c>
      <c r="H1" s="1081" t="s">
        <v>1177</v>
      </c>
      <c r="I1" s="1081" t="s">
        <v>1177</v>
      </c>
      <c r="J1" s="1081" t="s">
        <v>1177</v>
      </c>
      <c r="K1" s="1081" t="s">
        <v>1177</v>
      </c>
      <c r="L1" s="1081" t="s">
        <v>1177</v>
      </c>
      <c r="M1" s="1081" t="s">
        <v>1177</v>
      </c>
      <c r="N1" s="1081" t="s">
        <v>1177</v>
      </c>
      <c r="O1" s="1081" t="s">
        <v>1177</v>
      </c>
      <c r="P1" s="1081" t="s">
        <v>1177</v>
      </c>
      <c r="Q1" s="1081" t="s">
        <v>1177</v>
      </c>
      <c r="R1" s="1081" t="s">
        <v>1177</v>
      </c>
      <c r="S1" s="1081" t="s">
        <v>1177</v>
      </c>
      <c r="T1" s="1081" t="s">
        <v>1177</v>
      </c>
      <c r="U1" s="1081" t="s">
        <v>1177</v>
      </c>
      <c r="V1" s="1081" t="s">
        <v>1177</v>
      </c>
      <c r="W1" s="1081" t="s">
        <v>1177</v>
      </c>
      <c r="X1" s="1081" t="s">
        <v>1177</v>
      </c>
      <c r="Y1" s="1081" t="s">
        <v>1177</v>
      </c>
      <c r="Z1" s="1081" t="s">
        <v>1177</v>
      </c>
      <c r="AA1" s="1081" t="s">
        <v>1177</v>
      </c>
    </row>
    <row r="2" spans="1:27" x14ac:dyDescent="0.25">
      <c r="A2" s="1082" t="s">
        <v>194</v>
      </c>
      <c r="B2" s="1082" t="s">
        <v>194</v>
      </c>
      <c r="C2" s="1082" t="s">
        <v>194</v>
      </c>
      <c r="D2" s="1082" t="s">
        <v>194</v>
      </c>
      <c r="E2" s="1082" t="s">
        <v>194</v>
      </c>
      <c r="F2" s="1082" t="s">
        <v>194</v>
      </c>
      <c r="G2" s="1082" t="s">
        <v>194</v>
      </c>
      <c r="H2" s="1082" t="s">
        <v>194</v>
      </c>
      <c r="I2" s="1082" t="s">
        <v>194</v>
      </c>
      <c r="J2" s="1082" t="s">
        <v>194</v>
      </c>
      <c r="K2" s="1082" t="s">
        <v>194</v>
      </c>
      <c r="L2" s="1082" t="s">
        <v>194</v>
      </c>
      <c r="M2" s="1082" t="s">
        <v>194</v>
      </c>
      <c r="N2" s="1082" t="s">
        <v>194</v>
      </c>
      <c r="O2" s="1082" t="s">
        <v>194</v>
      </c>
      <c r="P2" s="1082" t="s">
        <v>194</v>
      </c>
      <c r="Q2" s="1082" t="s">
        <v>194</v>
      </c>
      <c r="R2" s="1082" t="s">
        <v>194</v>
      </c>
      <c r="S2" s="1082" t="s">
        <v>194</v>
      </c>
      <c r="T2" s="1082" t="s">
        <v>194</v>
      </c>
      <c r="U2" s="1082" t="s">
        <v>194</v>
      </c>
      <c r="V2" s="1082" t="s">
        <v>194</v>
      </c>
      <c r="W2" s="1082" t="s">
        <v>194</v>
      </c>
      <c r="X2" s="1082" t="s">
        <v>194</v>
      </c>
      <c r="Y2" s="1082" t="s">
        <v>194</v>
      </c>
      <c r="Z2" s="1082" t="s">
        <v>194</v>
      </c>
      <c r="AA2" s="1082" t="s">
        <v>194</v>
      </c>
    </row>
    <row r="3" spans="1:27" x14ac:dyDescent="0.25">
      <c r="A3" s="1082" t="s">
        <v>914</v>
      </c>
      <c r="B3" s="1082" t="s">
        <v>914</v>
      </c>
      <c r="C3" s="1082" t="s">
        <v>914</v>
      </c>
      <c r="D3" s="1082" t="s">
        <v>914</v>
      </c>
      <c r="E3" s="1082" t="s">
        <v>914</v>
      </c>
      <c r="F3" s="1082" t="s">
        <v>914</v>
      </c>
      <c r="G3" s="1082" t="s">
        <v>914</v>
      </c>
      <c r="H3" s="1082" t="s">
        <v>914</v>
      </c>
      <c r="I3" s="1082" t="s">
        <v>914</v>
      </c>
      <c r="J3" s="1082" t="s">
        <v>914</v>
      </c>
      <c r="K3" s="1082" t="s">
        <v>914</v>
      </c>
      <c r="L3" s="1082" t="s">
        <v>914</v>
      </c>
      <c r="M3" s="1082" t="s">
        <v>914</v>
      </c>
      <c r="N3" s="1082" t="s">
        <v>914</v>
      </c>
      <c r="O3" s="1082" t="s">
        <v>914</v>
      </c>
      <c r="P3" s="1082" t="s">
        <v>914</v>
      </c>
      <c r="Q3" s="1082" t="s">
        <v>914</v>
      </c>
      <c r="R3" s="1082" t="s">
        <v>914</v>
      </c>
      <c r="S3" s="1082" t="s">
        <v>914</v>
      </c>
      <c r="T3" s="1082" t="s">
        <v>914</v>
      </c>
      <c r="U3" s="1082" t="s">
        <v>914</v>
      </c>
      <c r="V3" s="1082" t="s">
        <v>914</v>
      </c>
      <c r="W3" s="1082" t="s">
        <v>914</v>
      </c>
      <c r="X3" s="1082" t="s">
        <v>914</v>
      </c>
      <c r="Y3" s="1082" t="s">
        <v>914</v>
      </c>
      <c r="Z3" s="1082" t="s">
        <v>914</v>
      </c>
      <c r="AA3" s="1082" t="s">
        <v>914</v>
      </c>
    </row>
    <row r="4" spans="1:27" x14ac:dyDescent="0.25">
      <c r="A4" s="347"/>
      <c r="B4" s="1084" t="s">
        <v>1323</v>
      </c>
      <c r="C4" s="1084" t="s">
        <v>876</v>
      </c>
      <c r="D4" s="288"/>
      <c r="E4" s="1084" t="s">
        <v>560</v>
      </c>
      <c r="F4" s="1084" t="s">
        <v>1448</v>
      </c>
      <c r="G4" s="1084" t="s">
        <v>947</v>
      </c>
      <c r="H4" s="1084" t="s">
        <v>1079</v>
      </c>
      <c r="I4" s="1084" t="s">
        <v>860</v>
      </c>
      <c r="J4" s="1084" t="s">
        <v>1091</v>
      </c>
      <c r="K4" s="1084" t="s">
        <v>1446</v>
      </c>
      <c r="L4" s="1084" t="s">
        <v>898</v>
      </c>
      <c r="M4" s="1084" t="s">
        <v>1313</v>
      </c>
      <c r="N4" s="1084" t="s">
        <v>898</v>
      </c>
      <c r="O4" s="1084" t="s">
        <v>452</v>
      </c>
      <c r="P4" s="1084" t="s">
        <v>898</v>
      </c>
      <c r="Q4" s="1084" t="s">
        <v>860</v>
      </c>
      <c r="R4" s="1084" t="s">
        <v>965</v>
      </c>
      <c r="S4" s="1084" t="s">
        <v>898</v>
      </c>
      <c r="T4" s="1084" t="s">
        <v>452</v>
      </c>
      <c r="U4" s="1084" t="s">
        <v>898</v>
      </c>
      <c r="V4" s="1084" t="s">
        <v>274</v>
      </c>
      <c r="W4" s="1084" t="s">
        <v>898</v>
      </c>
      <c r="X4" s="1084" t="s">
        <v>1192</v>
      </c>
      <c r="Y4" s="1084" t="s">
        <v>898</v>
      </c>
      <c r="Z4" s="1084" t="s">
        <v>452</v>
      </c>
      <c r="AA4" s="1084" t="s">
        <v>898</v>
      </c>
    </row>
    <row r="5" spans="1:27" ht="7.15" customHeight="1" x14ac:dyDescent="0.25">
      <c r="A5" s="347"/>
      <c r="B5" s="1084"/>
      <c r="C5" s="1084"/>
      <c r="D5" s="288"/>
      <c r="E5" s="1084"/>
      <c r="F5" s="1084"/>
      <c r="G5" s="1084" t="s">
        <v>947</v>
      </c>
      <c r="H5" s="1084" t="s">
        <v>1079</v>
      </c>
      <c r="I5" s="1084" t="s">
        <v>860</v>
      </c>
      <c r="J5" s="1084" t="s">
        <v>1091</v>
      </c>
      <c r="K5" s="1084"/>
      <c r="L5" s="1084"/>
      <c r="M5" s="1084"/>
      <c r="N5" s="1084"/>
      <c r="O5" s="1084"/>
      <c r="P5" s="1084"/>
      <c r="Q5" s="1084"/>
      <c r="R5" s="1084"/>
      <c r="S5" s="1084"/>
      <c r="T5" s="1084"/>
      <c r="U5" s="1084"/>
      <c r="V5" s="1084"/>
      <c r="W5" s="1084"/>
      <c r="X5" s="1084"/>
      <c r="Y5" s="1084"/>
      <c r="Z5" s="1084"/>
      <c r="AA5" s="1084"/>
    </row>
    <row r="6" spans="1:27" x14ac:dyDescent="0.25">
      <c r="A6" s="851" t="s">
        <v>1293</v>
      </c>
      <c r="B6" s="110">
        <v>1</v>
      </c>
      <c r="C6" s="45" t="s">
        <v>445</v>
      </c>
      <c r="D6" s="45">
        <f>'Giá Máy'!D5</f>
        <v>0</v>
      </c>
      <c r="E6" s="554" t="str">
        <f>'Giá Máy'!E5</f>
        <v>Búa căn khí nén 3m3/ph</v>
      </c>
      <c r="F6" s="110" t="s">
        <v>1272</v>
      </c>
      <c r="G6" s="590"/>
      <c r="H6" s="590"/>
      <c r="I6" s="590"/>
      <c r="J6" s="590">
        <f>SUM(J7:J7)</f>
        <v>10.607999999999999</v>
      </c>
      <c r="K6" s="636">
        <f>'Giá Máy'!G5</f>
        <v>21147</v>
      </c>
      <c r="L6" s="636">
        <f>J6*K6</f>
        <v>224327.37599999996</v>
      </c>
      <c r="M6" s="636">
        <f>'Giá Máy'!H5</f>
        <v>21147</v>
      </c>
      <c r="N6" s="636">
        <f>J6*M6</f>
        <v>224327.37599999996</v>
      </c>
      <c r="O6" s="636">
        <f>M6-K6</f>
        <v>0</v>
      </c>
      <c r="P6" s="636">
        <f>J6*O6</f>
        <v>0</v>
      </c>
      <c r="Q6" s="636">
        <v>1</v>
      </c>
      <c r="R6" s="636">
        <f>M6*Q6</f>
        <v>21147</v>
      </c>
      <c r="S6" s="636">
        <f>J6*R6</f>
        <v>224327.37599999996</v>
      </c>
      <c r="T6" s="636">
        <v>0</v>
      </c>
      <c r="U6" s="636">
        <v>0</v>
      </c>
      <c r="V6" s="636">
        <f>'Giá Máy'!N5</f>
        <v>0</v>
      </c>
      <c r="W6" s="636">
        <f>J6*V6</f>
        <v>0</v>
      </c>
      <c r="X6" s="636">
        <f>'Giá Máy'!O5</f>
        <v>21147</v>
      </c>
      <c r="Y6" s="636">
        <f>J6*X6</f>
        <v>224327.37599999996</v>
      </c>
      <c r="Z6" s="636">
        <f>X6-K6</f>
        <v>0</v>
      </c>
      <c r="AA6" s="636">
        <f>J6*Z6</f>
        <v>0</v>
      </c>
    </row>
    <row r="7" spans="1:27" s="379" customFormat="1" ht="30" hidden="1" x14ac:dyDescent="0.25">
      <c r="A7" s="739"/>
      <c r="B7" s="91"/>
      <c r="C7" s="30" t="str">
        <f>'Tiên lượng'!C8</f>
        <v>SA.12112</v>
      </c>
      <c r="D7" s="30"/>
      <c r="E7" s="538" t="str">
        <f>'Tiên lượng'!D8</f>
        <v>Phá dỡ kết cấu bê tông không cốt thép bằng búa căn. (Bê tông mặt đường cũ)</v>
      </c>
      <c r="F7" s="91" t="str">
        <f>'Tiên lượng'!E8</f>
        <v>m3</v>
      </c>
      <c r="G7" s="573">
        <f>'Tiên lượng'!M8</f>
        <v>40.799999999999997</v>
      </c>
      <c r="H7" s="573">
        <f>PTVT!G10</f>
        <v>0.26</v>
      </c>
      <c r="I7" s="573">
        <f>'Tiên lượng'!X8</f>
        <v>1</v>
      </c>
      <c r="J7" s="573">
        <f>PRODUCT(G7,H7,I7)</f>
        <v>10.607999999999999</v>
      </c>
      <c r="K7" s="229"/>
      <c r="L7" s="229"/>
      <c r="M7" s="229"/>
      <c r="N7" s="229"/>
      <c r="O7" s="229"/>
      <c r="P7" s="229"/>
      <c r="Q7" s="229"/>
      <c r="R7" s="229"/>
      <c r="S7" s="229"/>
      <c r="T7" s="229"/>
      <c r="U7" s="229"/>
      <c r="V7" s="229"/>
      <c r="W7" s="229"/>
      <c r="X7" s="229"/>
      <c r="Y7" s="229"/>
      <c r="Z7" s="229"/>
      <c r="AA7" s="229"/>
    </row>
    <row r="8" spans="1:27" x14ac:dyDescent="0.25">
      <c r="A8" s="259" t="s">
        <v>1293</v>
      </c>
      <c r="B8" s="405">
        <v>2</v>
      </c>
      <c r="C8" s="351" t="s">
        <v>701</v>
      </c>
      <c r="D8" s="351">
        <f>'Giá Máy'!D6</f>
        <v>0</v>
      </c>
      <c r="E8" s="828" t="str">
        <f>'Giá Máy'!E6</f>
        <v>Cần cẩu bánh hơi 6T</v>
      </c>
      <c r="F8" s="405" t="s">
        <v>1272</v>
      </c>
      <c r="G8" s="853"/>
      <c r="H8" s="853"/>
      <c r="I8" s="853"/>
      <c r="J8" s="853">
        <f>SUM(J9:J9)</f>
        <v>0.185</v>
      </c>
      <c r="K8" s="542">
        <f>'Giá Máy'!G6</f>
        <v>1630308</v>
      </c>
      <c r="L8" s="542">
        <f>J8*K8</f>
        <v>301606.98</v>
      </c>
      <c r="M8" s="542">
        <f>'Giá Máy'!H6</f>
        <v>1630308</v>
      </c>
      <c r="N8" s="542">
        <f>J8*M8</f>
        <v>301606.98</v>
      </c>
      <c r="O8" s="542">
        <f>M8-K8</f>
        <v>0</v>
      </c>
      <c r="P8" s="542">
        <f>J8*O8</f>
        <v>0</v>
      </c>
      <c r="Q8" s="542">
        <v>1</v>
      </c>
      <c r="R8" s="542">
        <f>M8*Q8</f>
        <v>1630308</v>
      </c>
      <c r="S8" s="542">
        <f>J8*R8</f>
        <v>301606.98</v>
      </c>
      <c r="T8" s="542">
        <v>0</v>
      </c>
      <c r="U8" s="542">
        <v>0</v>
      </c>
      <c r="V8" s="542">
        <f>'Giá Máy'!N6</f>
        <v>0</v>
      </c>
      <c r="W8" s="542">
        <f>J8*V8</f>
        <v>0</v>
      </c>
      <c r="X8" s="542">
        <f>'Giá Máy'!O6</f>
        <v>1630308</v>
      </c>
      <c r="Y8" s="542">
        <f>J8*X8</f>
        <v>301606.98</v>
      </c>
      <c r="Z8" s="542">
        <f>X8-K8</f>
        <v>0</v>
      </c>
      <c r="AA8" s="542">
        <f>J8*Z8</f>
        <v>0</v>
      </c>
    </row>
    <row r="9" spans="1:27" s="379" customFormat="1" ht="30" hidden="1" x14ac:dyDescent="0.25">
      <c r="A9" s="739"/>
      <c r="B9" s="91"/>
      <c r="C9" s="30" t="str">
        <f>'Tiên lượng'!C24</f>
        <v>BB.11211</v>
      </c>
      <c r="D9" s="30"/>
      <c r="E9" s="538" t="str">
        <f>'Tiên lượng'!D24</f>
        <v>Lắp đặt ống bê tông bằng cần cẩu, đoạn ống dài 1m - Đường kính ≤600mm</v>
      </c>
      <c r="F9" s="91" t="str">
        <f>'Tiên lượng'!E24</f>
        <v>1 đoạn ống</v>
      </c>
      <c r="G9" s="573">
        <f>'Tiên lượng'!M24</f>
        <v>5</v>
      </c>
      <c r="H9" s="573">
        <f>PTVT!G77</f>
        <v>3.6999999999999998E-2</v>
      </c>
      <c r="I9" s="573">
        <f>'Tiên lượng'!X24</f>
        <v>1</v>
      </c>
      <c r="J9" s="573">
        <f>PRODUCT(G9,H9,I9)</f>
        <v>0.185</v>
      </c>
      <c r="K9" s="229"/>
      <c r="L9" s="229"/>
      <c r="M9" s="229"/>
      <c r="N9" s="229"/>
      <c r="O9" s="229"/>
      <c r="P9" s="229"/>
      <c r="Q9" s="229"/>
      <c r="R9" s="229"/>
      <c r="S9" s="229"/>
      <c r="T9" s="229"/>
      <c r="U9" s="229"/>
      <c r="V9" s="229"/>
      <c r="W9" s="229"/>
      <c r="X9" s="229"/>
      <c r="Y9" s="229"/>
      <c r="Z9" s="229"/>
      <c r="AA9" s="229"/>
    </row>
    <row r="10" spans="1:27" x14ac:dyDescent="0.25">
      <c r="A10" s="259" t="s">
        <v>1293</v>
      </c>
      <c r="B10" s="405">
        <v>3</v>
      </c>
      <c r="C10" s="351" t="s">
        <v>369</v>
      </c>
      <c r="D10" s="351">
        <f>'Giá Máy'!D7</f>
        <v>0</v>
      </c>
      <c r="E10" s="828" t="str">
        <f>'Giá Máy'!E7</f>
        <v>Máy cắt bê tông 7,5kW</v>
      </c>
      <c r="F10" s="405" t="s">
        <v>1272</v>
      </c>
      <c r="G10" s="853"/>
      <c r="H10" s="853"/>
      <c r="I10" s="853"/>
      <c r="J10" s="853">
        <f>SUM(J11:J11)</f>
        <v>7.9618000000000011</v>
      </c>
      <c r="K10" s="542">
        <f>'Giá Máy'!G7</f>
        <v>316717</v>
      </c>
      <c r="L10" s="542">
        <f>J10*K10</f>
        <v>2521637.4106000005</v>
      </c>
      <c r="M10" s="542">
        <f>'Giá Máy'!H7</f>
        <v>316717</v>
      </c>
      <c r="N10" s="542">
        <f>J10*M10</f>
        <v>2521637.4106000005</v>
      </c>
      <c r="O10" s="542">
        <f>M10-K10</f>
        <v>0</v>
      </c>
      <c r="P10" s="542">
        <f>J10*O10</f>
        <v>0</v>
      </c>
      <c r="Q10" s="542">
        <v>1</v>
      </c>
      <c r="R10" s="542">
        <f>M10*Q10</f>
        <v>316717</v>
      </c>
      <c r="S10" s="542">
        <f>J10*R10</f>
        <v>2521637.4106000005</v>
      </c>
      <c r="T10" s="542">
        <v>0</v>
      </c>
      <c r="U10" s="542">
        <v>0</v>
      </c>
      <c r="V10" s="542">
        <f>'Giá Máy'!N7</f>
        <v>0</v>
      </c>
      <c r="W10" s="542">
        <f>J10*V10</f>
        <v>0</v>
      </c>
      <c r="X10" s="542">
        <f>'Giá Máy'!O7</f>
        <v>316717</v>
      </c>
      <c r="Y10" s="542">
        <f>J10*X10</f>
        <v>2521637.4106000005</v>
      </c>
      <c r="Z10" s="542">
        <f>X10-K10</f>
        <v>0</v>
      </c>
      <c r="AA10" s="542">
        <f>J10*Z10</f>
        <v>0</v>
      </c>
    </row>
    <row r="11" spans="1:27" s="379" customFormat="1" ht="30" hidden="1" x14ac:dyDescent="0.25">
      <c r="A11" s="739"/>
      <c r="B11" s="91"/>
      <c r="C11" s="30" t="str">
        <f>'Tiên lượng'!C35</f>
        <v>AL.22111</v>
      </c>
      <c r="D11" s="30"/>
      <c r="E11" s="538" t="str">
        <f>'Tiên lượng'!D35</f>
        <v>Cắt khe co, dãn mặt đường BTXM ( 5m cắt 1 mạch)</v>
      </c>
      <c r="F11" s="91" t="str">
        <f>'Tiên lượng'!E35</f>
        <v>10m</v>
      </c>
      <c r="G11" s="573">
        <f>'Tiên lượng'!M35</f>
        <v>36.190000000000005</v>
      </c>
      <c r="H11" s="573">
        <f>PTVT!G125</f>
        <v>0.22</v>
      </c>
      <c r="I11" s="573">
        <f>'Tiên lượng'!X35</f>
        <v>1</v>
      </c>
      <c r="J11" s="573">
        <f>PRODUCT(G11,H11,I11)</f>
        <v>7.9618000000000011</v>
      </c>
      <c r="K11" s="229"/>
      <c r="L11" s="229"/>
      <c r="M11" s="229"/>
      <c r="N11" s="229"/>
      <c r="O11" s="229"/>
      <c r="P11" s="229"/>
      <c r="Q11" s="229"/>
      <c r="R11" s="229"/>
      <c r="S11" s="229"/>
      <c r="T11" s="229"/>
      <c r="U11" s="229"/>
      <c r="V11" s="229"/>
      <c r="W11" s="229"/>
      <c r="X11" s="229"/>
      <c r="Y11" s="229"/>
      <c r="Z11" s="229"/>
      <c r="AA11" s="229"/>
    </row>
    <row r="12" spans="1:27" x14ac:dyDescent="0.25">
      <c r="A12" s="259" t="s">
        <v>1293</v>
      </c>
      <c r="B12" s="405">
        <v>4</v>
      </c>
      <c r="C12" s="351" t="s">
        <v>1395</v>
      </c>
      <c r="D12" s="351">
        <f>'Giá Máy'!D8</f>
        <v>0</v>
      </c>
      <c r="E12" s="828" t="str">
        <f>'Giá Máy'!E8</f>
        <v>Máy đầm bàn 1kW</v>
      </c>
      <c r="F12" s="405" t="s">
        <v>1272</v>
      </c>
      <c r="G12" s="853"/>
      <c r="H12" s="853"/>
      <c r="I12" s="853"/>
      <c r="J12" s="853">
        <f>SUM(J13:J13)</f>
        <v>33.0991</v>
      </c>
      <c r="K12" s="542">
        <f>'Giá Máy'!G8</f>
        <v>276871</v>
      </c>
      <c r="L12" s="542">
        <f>J12*K12</f>
        <v>9164180.9160999991</v>
      </c>
      <c r="M12" s="542">
        <f>'Giá Máy'!H8</f>
        <v>276871</v>
      </c>
      <c r="N12" s="542">
        <f>J12*M12</f>
        <v>9164180.9160999991</v>
      </c>
      <c r="O12" s="542">
        <f>M12-K12</f>
        <v>0</v>
      </c>
      <c r="P12" s="542">
        <f>J12*O12</f>
        <v>0</v>
      </c>
      <c r="Q12" s="542">
        <v>1</v>
      </c>
      <c r="R12" s="542">
        <f>M12*Q12</f>
        <v>276871</v>
      </c>
      <c r="S12" s="542">
        <f>J12*R12</f>
        <v>9164180.9160999991</v>
      </c>
      <c r="T12" s="542">
        <v>0</v>
      </c>
      <c r="U12" s="542">
        <v>0</v>
      </c>
      <c r="V12" s="542">
        <f>'Giá Máy'!N8</f>
        <v>0</v>
      </c>
      <c r="W12" s="542">
        <f>J12*V12</f>
        <v>0</v>
      </c>
      <c r="X12" s="542">
        <f>'Giá Máy'!O8</f>
        <v>276871</v>
      </c>
      <c r="Y12" s="542">
        <f>J12*X12</f>
        <v>9164180.9160999991</v>
      </c>
      <c r="Z12" s="542">
        <f>X12-K12</f>
        <v>0</v>
      </c>
      <c r="AA12" s="542">
        <f>J12*Z12</f>
        <v>0</v>
      </c>
    </row>
    <row r="13" spans="1:27" s="379" customFormat="1" ht="45" hidden="1" x14ac:dyDescent="0.25">
      <c r="A13" s="739"/>
      <c r="B13" s="91"/>
      <c r="C13" s="30" t="str">
        <f>'Tiên lượng'!C32</f>
        <v>AF.15434A</v>
      </c>
      <c r="D13" s="30"/>
      <c r="E13" s="538" t="str">
        <f>'Tiên lượng'!D32</f>
        <v>Bê tông sản xuất bằng máy trộn và đổ bằng thủ công, bê tông mặt đường dày mặt đường ≤25cm, bê tông M250, đá 2x4, PCB30</v>
      </c>
      <c r="F13" s="91" t="str">
        <f>'Tiên lượng'!E32</f>
        <v>m3</v>
      </c>
      <c r="G13" s="573">
        <f>'Tiên lượng'!M32</f>
        <v>371.90000000000003</v>
      </c>
      <c r="H13" s="573">
        <f>PTVT!G115</f>
        <v>8.8999999999999996E-2</v>
      </c>
      <c r="I13" s="573">
        <f>'Tiên lượng'!X32</f>
        <v>1</v>
      </c>
      <c r="J13" s="573">
        <f>PRODUCT(G13,H13,I13)</f>
        <v>33.0991</v>
      </c>
      <c r="K13" s="229"/>
      <c r="L13" s="229"/>
      <c r="M13" s="229"/>
      <c r="N13" s="229"/>
      <c r="O13" s="229"/>
      <c r="P13" s="229"/>
      <c r="Q13" s="229"/>
      <c r="R13" s="229"/>
      <c r="S13" s="229"/>
      <c r="T13" s="229"/>
      <c r="U13" s="229"/>
      <c r="V13" s="229"/>
      <c r="W13" s="229"/>
      <c r="X13" s="229"/>
      <c r="Y13" s="229"/>
      <c r="Z13" s="229"/>
      <c r="AA13" s="229"/>
    </row>
    <row r="14" spans="1:27" x14ac:dyDescent="0.25">
      <c r="A14" s="259" t="s">
        <v>1293</v>
      </c>
      <c r="B14" s="405">
        <v>5</v>
      </c>
      <c r="C14" s="351" t="s">
        <v>928</v>
      </c>
      <c r="D14" s="351">
        <f>'Giá Máy'!D9</f>
        <v>0</v>
      </c>
      <c r="E14" s="828" t="str">
        <f>'Giá Máy'!E9</f>
        <v>Máy đầm cóc</v>
      </c>
      <c r="F14" s="405" t="s">
        <v>1272</v>
      </c>
      <c r="G14" s="853"/>
      <c r="H14" s="853"/>
      <c r="I14" s="853"/>
      <c r="J14" s="853">
        <f>SUM(J15:J15)</f>
        <v>5.6870000000000012</v>
      </c>
      <c r="K14" s="542">
        <f>'Giá Máy'!G9</f>
        <v>850000</v>
      </c>
      <c r="L14" s="542">
        <f>J14*K14</f>
        <v>4833950.0000000009</v>
      </c>
      <c r="M14" s="542">
        <f>'Giá Máy'!H9</f>
        <v>850000</v>
      </c>
      <c r="N14" s="542">
        <f>J14*M14</f>
        <v>4833950.0000000009</v>
      </c>
      <c r="O14" s="542">
        <f>M14-K14</f>
        <v>0</v>
      </c>
      <c r="P14" s="542">
        <f>J14*O14</f>
        <v>0</v>
      </c>
      <c r="Q14" s="542">
        <v>1</v>
      </c>
      <c r="R14" s="542">
        <f>M14*Q14</f>
        <v>850000</v>
      </c>
      <c r="S14" s="542">
        <f>J14*R14</f>
        <v>4833950.0000000009</v>
      </c>
      <c r="T14" s="542">
        <v>0</v>
      </c>
      <c r="U14" s="542">
        <v>0</v>
      </c>
      <c r="V14" s="542">
        <f>'Giá Máy'!N9</f>
        <v>0</v>
      </c>
      <c r="W14" s="542">
        <f>J14*V14</f>
        <v>0</v>
      </c>
      <c r="X14" s="542">
        <f>'Giá Máy'!O9</f>
        <v>850000</v>
      </c>
      <c r="Y14" s="542">
        <f>J14*X14</f>
        <v>4833950.0000000009</v>
      </c>
      <c r="Z14" s="542">
        <f>X14-K14</f>
        <v>0</v>
      </c>
      <c r="AA14" s="542">
        <f>J14*Z14</f>
        <v>0</v>
      </c>
    </row>
    <row r="15" spans="1:27" s="379" customFormat="1" ht="30" hidden="1" x14ac:dyDescent="0.25">
      <c r="A15" s="739"/>
      <c r="B15" s="91"/>
      <c r="C15" s="30" t="str">
        <f>'Tiên lượng'!C45</f>
        <v>SF.11311.VD</v>
      </c>
      <c r="D15" s="30"/>
      <c r="E15" s="538" t="str">
        <f>'Tiên lượng'!D45</f>
        <v>Đắp phụ nền, lề đường bằng Đá dăm cấp phối loại II (Subbase)</v>
      </c>
      <c r="F15" s="91" t="str">
        <f>'Tiên lượng'!E45</f>
        <v>m3</v>
      </c>
      <c r="G15" s="573">
        <f>'Tiên lượng'!M45</f>
        <v>113.74000000000001</v>
      </c>
      <c r="H15" s="573">
        <f>PTVT!G154</f>
        <v>0.05</v>
      </c>
      <c r="I15" s="573">
        <f>'Tiên lượng'!X45</f>
        <v>1</v>
      </c>
      <c r="J15" s="573">
        <f>PRODUCT(G15,H15,I15)</f>
        <v>5.6870000000000012</v>
      </c>
      <c r="K15" s="229"/>
      <c r="L15" s="229"/>
      <c r="M15" s="229"/>
      <c r="N15" s="229"/>
      <c r="O15" s="229"/>
      <c r="P15" s="229"/>
      <c r="Q15" s="229"/>
      <c r="R15" s="229"/>
      <c r="S15" s="229"/>
      <c r="T15" s="229"/>
      <c r="U15" s="229"/>
      <c r="V15" s="229"/>
      <c r="W15" s="229"/>
      <c r="X15" s="229"/>
      <c r="Y15" s="229"/>
      <c r="Z15" s="229"/>
      <c r="AA15" s="229"/>
    </row>
    <row r="16" spans="1:27" x14ac:dyDescent="0.25">
      <c r="A16" s="259" t="s">
        <v>1293</v>
      </c>
      <c r="B16" s="405">
        <v>6</v>
      </c>
      <c r="C16" s="351" t="s">
        <v>1341</v>
      </c>
      <c r="D16" s="351">
        <f>'Giá Máy'!D10</f>
        <v>0</v>
      </c>
      <c r="E16" s="828" t="str">
        <f>'Giá Máy'!E10</f>
        <v>Máy đầm dùi 1,5kW</v>
      </c>
      <c r="F16" s="405" t="s">
        <v>1272</v>
      </c>
      <c r="G16" s="853"/>
      <c r="H16" s="853"/>
      <c r="I16" s="853"/>
      <c r="J16" s="853">
        <f>SUM(J17:J17)</f>
        <v>33.0991</v>
      </c>
      <c r="K16" s="542">
        <f>'Giá Máy'!G10</f>
        <v>281279</v>
      </c>
      <c r="L16" s="542">
        <f>J16*K16</f>
        <v>9310081.7489</v>
      </c>
      <c r="M16" s="542">
        <f>'Giá Máy'!H10</f>
        <v>281279</v>
      </c>
      <c r="N16" s="542">
        <f>J16*M16</f>
        <v>9310081.7489</v>
      </c>
      <c r="O16" s="542">
        <f>M16-K16</f>
        <v>0</v>
      </c>
      <c r="P16" s="542">
        <f>J16*O16</f>
        <v>0</v>
      </c>
      <c r="Q16" s="542">
        <v>1</v>
      </c>
      <c r="R16" s="542">
        <f>M16*Q16</f>
        <v>281279</v>
      </c>
      <c r="S16" s="542">
        <f>J16*R16</f>
        <v>9310081.7489</v>
      </c>
      <c r="T16" s="542">
        <v>0</v>
      </c>
      <c r="U16" s="542">
        <v>0</v>
      </c>
      <c r="V16" s="542">
        <f>'Giá Máy'!N10</f>
        <v>0</v>
      </c>
      <c r="W16" s="542">
        <f>J16*V16</f>
        <v>0</v>
      </c>
      <c r="X16" s="542">
        <f>'Giá Máy'!O10</f>
        <v>281279</v>
      </c>
      <c r="Y16" s="542">
        <f>J16*X16</f>
        <v>9310081.7489</v>
      </c>
      <c r="Z16" s="542">
        <f>X16-K16</f>
        <v>0</v>
      </c>
      <c r="AA16" s="542">
        <f>J16*Z16</f>
        <v>0</v>
      </c>
    </row>
    <row r="17" spans="1:27" s="379" customFormat="1" ht="45" hidden="1" x14ac:dyDescent="0.25">
      <c r="A17" s="739"/>
      <c r="B17" s="91"/>
      <c r="C17" s="30" t="str">
        <f>'Tiên lượng'!C32</f>
        <v>AF.15434A</v>
      </c>
      <c r="D17" s="30"/>
      <c r="E17" s="538" t="str">
        <f>'Tiên lượng'!D32</f>
        <v>Bê tông sản xuất bằng máy trộn và đổ bằng thủ công, bê tông mặt đường dày mặt đường ≤25cm, bê tông M250, đá 2x4, PCB30</v>
      </c>
      <c r="F17" s="91" t="str">
        <f>'Tiên lượng'!E32</f>
        <v>m3</v>
      </c>
      <c r="G17" s="573">
        <f>'Tiên lượng'!M32</f>
        <v>371.90000000000003</v>
      </c>
      <c r="H17" s="573">
        <f>PTVT!G116</f>
        <v>8.8999999999999996E-2</v>
      </c>
      <c r="I17" s="573">
        <f>'Tiên lượng'!X32</f>
        <v>1</v>
      </c>
      <c r="J17" s="573">
        <f>PRODUCT(G17,H17,I17)</f>
        <v>33.0991</v>
      </c>
      <c r="K17" s="229"/>
      <c r="L17" s="229"/>
      <c r="M17" s="229"/>
      <c r="N17" s="229"/>
      <c r="O17" s="229"/>
      <c r="P17" s="229"/>
      <c r="Q17" s="229"/>
      <c r="R17" s="229"/>
      <c r="S17" s="229"/>
      <c r="T17" s="229"/>
      <c r="U17" s="229"/>
      <c r="V17" s="229"/>
      <c r="W17" s="229"/>
      <c r="X17" s="229"/>
      <c r="Y17" s="229"/>
      <c r="Z17" s="229"/>
      <c r="AA17" s="229"/>
    </row>
    <row r="18" spans="1:27" x14ac:dyDescent="0.25">
      <c r="A18" s="259" t="s">
        <v>1293</v>
      </c>
      <c r="B18" s="405">
        <v>7</v>
      </c>
      <c r="C18" s="351" t="s">
        <v>921</v>
      </c>
      <c r="D18" s="351">
        <f>'Giá Máy'!D11</f>
        <v>0</v>
      </c>
      <c r="E18" s="828" t="str">
        <f>'Giá Máy'!E11</f>
        <v>Máy đào 0,4m3</v>
      </c>
      <c r="F18" s="405" t="s">
        <v>1272</v>
      </c>
      <c r="G18" s="853"/>
      <c r="H18" s="853"/>
      <c r="I18" s="853"/>
      <c r="J18" s="853">
        <f>SUM(J19:J20)</f>
        <v>2.1255488000000002</v>
      </c>
      <c r="K18" s="542">
        <f>'Giá Máy'!G11</f>
        <v>2800000</v>
      </c>
      <c r="L18" s="542">
        <f>J18*K18</f>
        <v>5951536.6400000006</v>
      </c>
      <c r="M18" s="542">
        <f>'Giá Máy'!H11</f>
        <v>2800000</v>
      </c>
      <c r="N18" s="542">
        <f>J18*M18</f>
        <v>5951536.6400000006</v>
      </c>
      <c r="O18" s="542">
        <f>M18-K18</f>
        <v>0</v>
      </c>
      <c r="P18" s="542">
        <f>J18*O18</f>
        <v>0</v>
      </c>
      <c r="Q18" s="542">
        <v>1</v>
      </c>
      <c r="R18" s="542">
        <f>M18*Q18</f>
        <v>2800000</v>
      </c>
      <c r="S18" s="542">
        <f>J18*R18</f>
        <v>5951536.6400000006</v>
      </c>
      <c r="T18" s="542">
        <v>0</v>
      </c>
      <c r="U18" s="542">
        <v>0</v>
      </c>
      <c r="V18" s="542">
        <f>'Giá Máy'!N11</f>
        <v>0</v>
      </c>
      <c r="W18" s="542">
        <f>J18*V18</f>
        <v>0</v>
      </c>
      <c r="X18" s="542">
        <f>'Giá Máy'!O11</f>
        <v>2800000</v>
      </c>
      <c r="Y18" s="542">
        <f>J18*X18</f>
        <v>5951536.6400000006</v>
      </c>
      <c r="Z18" s="542">
        <f>X18-K18</f>
        <v>0</v>
      </c>
      <c r="AA18" s="542">
        <f>J18*Z18</f>
        <v>0</v>
      </c>
    </row>
    <row r="19" spans="1:27" s="379" customFormat="1" ht="45" hidden="1" x14ac:dyDescent="0.25">
      <c r="A19" s="739"/>
      <c r="B19" s="91"/>
      <c r="C19" s="30" t="str">
        <f>'Tiên lượng'!C15</f>
        <v>AB.31113</v>
      </c>
      <c r="D19" s="30"/>
      <c r="E19" s="538" t="str">
        <f>'Tiên lượng'!D15</f>
        <v>Đào nền đường bằng máy đào 0,4m3 - Cấp đất III (Bổ sung TT09/2024). Đào hạ nền đường trung bình 50cm, dài 50m</v>
      </c>
      <c r="F19" s="91" t="str">
        <f>'Tiên lượng'!E15</f>
        <v>100m3</v>
      </c>
      <c r="G19" s="573">
        <f>'Tiên lượng'!M15</f>
        <v>0.875</v>
      </c>
      <c r="H19" s="573">
        <f>PTVT!G38</f>
        <v>2</v>
      </c>
      <c r="I19" s="573">
        <f>'Tiên lượng'!X15</f>
        <v>1</v>
      </c>
      <c r="J19" s="573">
        <f t="shared" ref="J19:J20" si="0">PRODUCT(G19,H19,I19)</f>
        <v>1.75</v>
      </c>
      <c r="K19" s="229"/>
      <c r="L19" s="229"/>
      <c r="M19" s="229"/>
      <c r="N19" s="229"/>
      <c r="O19" s="229"/>
      <c r="P19" s="229"/>
      <c r="Q19" s="229"/>
      <c r="R19" s="229"/>
      <c r="S19" s="229"/>
      <c r="T19" s="229"/>
      <c r="U19" s="229"/>
      <c r="V19" s="229"/>
      <c r="W19" s="229"/>
      <c r="X19" s="229"/>
      <c r="Y19" s="229"/>
      <c r="Z19" s="229"/>
      <c r="AA19" s="229"/>
    </row>
    <row r="20" spans="1:27" s="379" customFormat="1" ht="30" hidden="1" x14ac:dyDescent="0.25">
      <c r="A20" s="739"/>
      <c r="B20" s="91"/>
      <c r="C20" s="30" t="str">
        <f>'Tiên lượng'!C40</f>
        <v>AB.27103</v>
      </c>
      <c r="D20" s="30"/>
      <c r="E20" s="538" t="str">
        <f>'Tiên lượng'!D40</f>
        <v>Đào kênh mương, chiều rộng kênh mương ≤6m bằng máy đào 0,4m3 - Cấp đất III</v>
      </c>
      <c r="F20" s="91" t="str">
        <f>'Tiên lượng'!E40</f>
        <v>100m3</v>
      </c>
      <c r="G20" s="573">
        <f>'Tiên lượng'!M40</f>
        <v>0.41360000000000008</v>
      </c>
      <c r="H20" s="573">
        <f>PTVT!G137</f>
        <v>0.90800000000000003</v>
      </c>
      <c r="I20" s="573">
        <f>'Tiên lượng'!X40</f>
        <v>1</v>
      </c>
      <c r="J20" s="573">
        <f t="shared" si="0"/>
        <v>0.37554880000000007</v>
      </c>
      <c r="K20" s="229"/>
      <c r="L20" s="229"/>
      <c r="M20" s="229"/>
      <c r="N20" s="229"/>
      <c r="O20" s="229"/>
      <c r="P20" s="229"/>
      <c r="Q20" s="229"/>
      <c r="R20" s="229"/>
      <c r="S20" s="229"/>
      <c r="T20" s="229"/>
      <c r="U20" s="229"/>
      <c r="V20" s="229"/>
      <c r="W20" s="229"/>
      <c r="X20" s="229"/>
      <c r="Y20" s="229"/>
      <c r="Z20" s="229"/>
      <c r="AA20" s="229"/>
    </row>
    <row r="21" spans="1:27" x14ac:dyDescent="0.25">
      <c r="A21" s="259" t="s">
        <v>1293</v>
      </c>
      <c r="B21" s="405">
        <v>8</v>
      </c>
      <c r="C21" s="351" t="s">
        <v>68</v>
      </c>
      <c r="D21" s="351">
        <f>'Giá Máy'!D12</f>
        <v>0</v>
      </c>
      <c r="E21" s="828" t="str">
        <f>'Giá Máy'!E12</f>
        <v>Máy đào 3,6m3</v>
      </c>
      <c r="F21" s="405" t="s">
        <v>1272</v>
      </c>
      <c r="G21" s="853"/>
      <c r="H21" s="853"/>
      <c r="I21" s="853"/>
      <c r="J21" s="853">
        <f>SUM(J22:J22)</f>
        <v>0.51607919999999996</v>
      </c>
      <c r="K21" s="542">
        <f>'Giá Máy'!G12</f>
        <v>8635148</v>
      </c>
      <c r="L21" s="542">
        <f>J21*K21</f>
        <v>4456420.2717215996</v>
      </c>
      <c r="M21" s="542">
        <f>'Giá Máy'!H12</f>
        <v>8635148</v>
      </c>
      <c r="N21" s="542">
        <f>J21*M21</f>
        <v>4456420.2717215996</v>
      </c>
      <c r="O21" s="542">
        <f>M21-K21</f>
        <v>0</v>
      </c>
      <c r="P21" s="542">
        <f>J21*O21</f>
        <v>0</v>
      </c>
      <c r="Q21" s="542">
        <v>1</v>
      </c>
      <c r="R21" s="542">
        <f>M21*Q21</f>
        <v>8635148</v>
      </c>
      <c r="S21" s="542">
        <f>J21*R21</f>
        <v>4456420.2717215996</v>
      </c>
      <c r="T21" s="542">
        <v>0</v>
      </c>
      <c r="U21" s="542">
        <v>0</v>
      </c>
      <c r="V21" s="542">
        <f>'Giá Máy'!N12</f>
        <v>0</v>
      </c>
      <c r="W21" s="542">
        <f>J21*V21</f>
        <v>0</v>
      </c>
      <c r="X21" s="542">
        <f>'Giá Máy'!O12</f>
        <v>8635148</v>
      </c>
      <c r="Y21" s="542">
        <f>J21*X21</f>
        <v>4456420.2717215996</v>
      </c>
      <c r="Z21" s="542">
        <f>X21-K21</f>
        <v>0</v>
      </c>
      <c r="AA21" s="542">
        <f>J21*Z21</f>
        <v>0</v>
      </c>
    </row>
    <row r="22" spans="1:27" s="379" customFormat="1" ht="30" hidden="1" x14ac:dyDescent="0.25">
      <c r="A22" s="739"/>
      <c r="B22" s="91"/>
      <c r="C22" s="30" t="str">
        <f>'Tiên lượng'!C10</f>
        <v>AB.55321</v>
      </c>
      <c r="D22" s="30"/>
      <c r="E22" s="538" t="str">
        <f>'Tiên lượng'!D10</f>
        <v>Xúc đá tảng, cục bê tông lên phương tiện vận chuyển bằng máy đào 3,6m3, ĐK 0,4÷1m</v>
      </c>
      <c r="F22" s="91" t="str">
        <f>'Tiên lượng'!E10</f>
        <v>100m3</v>
      </c>
      <c r="G22" s="573">
        <f>'Tiên lượng'!M10</f>
        <v>0.53039999999999998</v>
      </c>
      <c r="H22" s="573">
        <f>PTVT!G16</f>
        <v>0.97299999999999998</v>
      </c>
      <c r="I22" s="573">
        <f>'Tiên lượng'!X10</f>
        <v>1</v>
      </c>
      <c r="J22" s="573">
        <f>PRODUCT(G22,H22,I22)</f>
        <v>0.51607919999999996</v>
      </c>
      <c r="K22" s="229"/>
      <c r="L22" s="229"/>
      <c r="M22" s="229"/>
      <c r="N22" s="229"/>
      <c r="O22" s="229"/>
      <c r="P22" s="229"/>
      <c r="Q22" s="229"/>
      <c r="R22" s="229"/>
      <c r="S22" s="229"/>
      <c r="T22" s="229"/>
      <c r="U22" s="229"/>
      <c r="V22" s="229"/>
      <c r="W22" s="229"/>
      <c r="X22" s="229"/>
      <c r="Y22" s="229"/>
      <c r="Z22" s="229"/>
      <c r="AA22" s="229"/>
    </row>
    <row r="23" spans="1:27" x14ac:dyDescent="0.25">
      <c r="A23" s="259" t="s">
        <v>1293</v>
      </c>
      <c r="B23" s="405">
        <v>9</v>
      </c>
      <c r="C23" s="351" t="s">
        <v>1203</v>
      </c>
      <c r="D23" s="351">
        <f>'Giá Máy'!D13</f>
        <v>0</v>
      </c>
      <c r="E23" s="828" t="str">
        <f>'Giá Máy'!E13</f>
        <v>Máy hàn điện 23kW</v>
      </c>
      <c r="F23" s="405" t="s">
        <v>1272</v>
      </c>
      <c r="G23" s="853"/>
      <c r="H23" s="853"/>
      <c r="I23" s="853"/>
      <c r="J23" s="853">
        <f>SUM(J24:J24)</f>
        <v>0.86856</v>
      </c>
      <c r="K23" s="542">
        <f>'Giá Máy'!G13</f>
        <v>426986</v>
      </c>
      <c r="L23" s="542">
        <f>J23*K23</f>
        <v>370862.96016000002</v>
      </c>
      <c r="M23" s="542">
        <f>'Giá Máy'!H13</f>
        <v>426986</v>
      </c>
      <c r="N23" s="542">
        <f>J23*M23</f>
        <v>370862.96016000002</v>
      </c>
      <c r="O23" s="542">
        <f>M23-K23</f>
        <v>0</v>
      </c>
      <c r="P23" s="542">
        <f>J23*O23</f>
        <v>0</v>
      </c>
      <c r="Q23" s="542">
        <v>1</v>
      </c>
      <c r="R23" s="542">
        <f>M23*Q23</f>
        <v>426986</v>
      </c>
      <c r="S23" s="542">
        <f>J23*R23</f>
        <v>370862.96016000002</v>
      </c>
      <c r="T23" s="542">
        <v>0</v>
      </c>
      <c r="U23" s="542">
        <v>0</v>
      </c>
      <c r="V23" s="542">
        <f>'Giá Máy'!N13</f>
        <v>0</v>
      </c>
      <c r="W23" s="542">
        <f>J23*V23</f>
        <v>0</v>
      </c>
      <c r="X23" s="542">
        <f>'Giá Máy'!O13</f>
        <v>426986</v>
      </c>
      <c r="Y23" s="542">
        <f>J23*X23</f>
        <v>370862.96016000002</v>
      </c>
      <c r="Z23" s="542">
        <f>X23-K23</f>
        <v>0</v>
      </c>
      <c r="AA23" s="542">
        <f>J23*Z23</f>
        <v>0</v>
      </c>
    </row>
    <row r="24" spans="1:27" s="379" customFormat="1" hidden="1" x14ac:dyDescent="0.25">
      <c r="A24" s="739"/>
      <c r="B24" s="91"/>
      <c r="C24" s="30" t="str">
        <f>'Tiên lượng'!C30</f>
        <v>AF.82411</v>
      </c>
      <c r="D24" s="30"/>
      <c r="E24" s="538" t="str">
        <f>'Tiên lượng'!D30</f>
        <v>Ván khuôn thép mặt đường bê tông</v>
      </c>
      <c r="F24" s="91" t="str">
        <f>'Tiên lượng'!E30</f>
        <v>100m2</v>
      </c>
      <c r="G24" s="573">
        <f>'Tiên lượng'!M30</f>
        <v>2.0680000000000001</v>
      </c>
      <c r="H24" s="573">
        <f>PTVT!G100</f>
        <v>0.42</v>
      </c>
      <c r="I24" s="573">
        <f>'Tiên lượng'!X30</f>
        <v>1</v>
      </c>
      <c r="J24" s="573">
        <f>PRODUCT(G24,H24,I24)</f>
        <v>0.86856</v>
      </c>
      <c r="K24" s="229"/>
      <c r="L24" s="229"/>
      <c r="M24" s="229"/>
      <c r="N24" s="229"/>
      <c r="O24" s="229"/>
      <c r="P24" s="229"/>
      <c r="Q24" s="229"/>
      <c r="R24" s="229"/>
      <c r="S24" s="229"/>
      <c r="T24" s="229"/>
      <c r="U24" s="229"/>
      <c r="V24" s="229"/>
      <c r="W24" s="229"/>
      <c r="X24" s="229"/>
      <c r="Y24" s="229"/>
      <c r="Z24" s="229"/>
      <c r="AA24" s="229"/>
    </row>
    <row r="25" spans="1:27" x14ac:dyDescent="0.25">
      <c r="A25" s="259" t="s">
        <v>1293</v>
      </c>
      <c r="B25" s="405">
        <v>10</v>
      </c>
      <c r="C25" s="351" t="s">
        <v>402</v>
      </c>
      <c r="D25" s="351">
        <f>'Giá Máy'!D14</f>
        <v>0</v>
      </c>
      <c r="E25" s="828" t="str">
        <f>'Giá Máy'!E14</f>
        <v>Máy lu bánh thép 10T</v>
      </c>
      <c r="F25" s="405" t="s">
        <v>1272</v>
      </c>
      <c r="G25" s="853"/>
      <c r="H25" s="853"/>
      <c r="I25" s="853"/>
      <c r="J25" s="853">
        <f>SUM(J26:J26)</f>
        <v>0.13</v>
      </c>
      <c r="K25" s="542">
        <f>'Giá Máy'!G14</f>
        <v>1151395</v>
      </c>
      <c r="L25" s="542">
        <f>J25*K25</f>
        <v>149681.35</v>
      </c>
      <c r="M25" s="542">
        <f>'Giá Máy'!H14</f>
        <v>1151395</v>
      </c>
      <c r="N25" s="542">
        <f>J25*M25</f>
        <v>149681.35</v>
      </c>
      <c r="O25" s="542">
        <f>M25-K25</f>
        <v>0</v>
      </c>
      <c r="P25" s="542">
        <f>J25*O25</f>
        <v>0</v>
      </c>
      <c r="Q25" s="542">
        <v>1</v>
      </c>
      <c r="R25" s="542">
        <f>M25*Q25</f>
        <v>1151395</v>
      </c>
      <c r="S25" s="542">
        <f>J25*R25</f>
        <v>149681.35</v>
      </c>
      <c r="T25" s="542">
        <v>0</v>
      </c>
      <c r="U25" s="542">
        <v>0</v>
      </c>
      <c r="V25" s="542">
        <f>'Giá Máy'!N14</f>
        <v>0</v>
      </c>
      <c r="W25" s="542">
        <f>J25*V25</f>
        <v>0</v>
      </c>
      <c r="X25" s="542">
        <f>'Giá Máy'!O14</f>
        <v>1151395</v>
      </c>
      <c r="Y25" s="542">
        <f>J25*X25</f>
        <v>149681.35</v>
      </c>
      <c r="Z25" s="542">
        <f>X25-K25</f>
        <v>0</v>
      </c>
      <c r="AA25" s="542">
        <f>J25*Z25</f>
        <v>0</v>
      </c>
    </row>
    <row r="26" spans="1:27" s="379" customFormat="1" ht="30" hidden="1" x14ac:dyDescent="0.25">
      <c r="A26" s="739"/>
      <c r="B26" s="91"/>
      <c r="C26" s="30" t="str">
        <f>'Tiên lượng'!C18</f>
        <v>AD.11212.VD</v>
      </c>
      <c r="D26" s="30"/>
      <c r="E26" s="538" t="str">
        <f>'Tiên lượng'!D18</f>
        <v>Bù vênh mặt đường bằng Đá dăm cấp phối loại II (Subbase)</v>
      </c>
      <c r="F26" s="91" t="str">
        <f>'Tiên lượng'!E18</f>
        <v>100m3</v>
      </c>
      <c r="G26" s="573">
        <f>'Tiên lượng'!M18</f>
        <v>0.5</v>
      </c>
      <c r="H26" s="573">
        <f>PTVT!G48</f>
        <v>0.26</v>
      </c>
      <c r="I26" s="573">
        <f>'Tiên lượng'!X18</f>
        <v>1</v>
      </c>
      <c r="J26" s="573">
        <f>PRODUCT(G26,H26,I26)</f>
        <v>0.13</v>
      </c>
      <c r="K26" s="229"/>
      <c r="L26" s="229"/>
      <c r="M26" s="229"/>
      <c r="N26" s="229"/>
      <c r="O26" s="229"/>
      <c r="P26" s="229"/>
      <c r="Q26" s="229"/>
      <c r="R26" s="229"/>
      <c r="S26" s="229"/>
      <c r="T26" s="229"/>
      <c r="U26" s="229"/>
      <c r="V26" s="229"/>
      <c r="W26" s="229"/>
      <c r="X26" s="229"/>
      <c r="Y26" s="229"/>
      <c r="Z26" s="229"/>
      <c r="AA26" s="229"/>
    </row>
    <row r="27" spans="1:27" x14ac:dyDescent="0.25">
      <c r="A27" s="259" t="s">
        <v>1293</v>
      </c>
      <c r="B27" s="405">
        <v>11</v>
      </c>
      <c r="C27" s="351" t="s">
        <v>647</v>
      </c>
      <c r="D27" s="351">
        <f>'Giá Máy'!D15</f>
        <v>0</v>
      </c>
      <c r="E27" s="828" t="str">
        <f>'Giá Máy'!E15</f>
        <v>Máy nén khí diezel 360m3/h</v>
      </c>
      <c r="F27" s="405" t="s">
        <v>1272</v>
      </c>
      <c r="G27" s="853"/>
      <c r="H27" s="853"/>
      <c r="I27" s="853"/>
      <c r="J27" s="853">
        <f>SUM(J28:J28)</f>
        <v>5.7119999999999997</v>
      </c>
      <c r="K27" s="542">
        <f>'Giá Máy'!G15</f>
        <v>1184116</v>
      </c>
      <c r="L27" s="542">
        <f>J27*K27</f>
        <v>6763670.5919999992</v>
      </c>
      <c r="M27" s="542">
        <f>'Giá Máy'!H15</f>
        <v>1184116</v>
      </c>
      <c r="N27" s="542">
        <f>J27*M27</f>
        <v>6763670.5919999992</v>
      </c>
      <c r="O27" s="542">
        <f>M27-K27</f>
        <v>0</v>
      </c>
      <c r="P27" s="542">
        <f>J27*O27</f>
        <v>0</v>
      </c>
      <c r="Q27" s="542">
        <v>1</v>
      </c>
      <c r="R27" s="542">
        <f>M27*Q27</f>
        <v>1184116</v>
      </c>
      <c r="S27" s="542">
        <f>J27*R27</f>
        <v>6763670.5919999992</v>
      </c>
      <c r="T27" s="542">
        <v>0</v>
      </c>
      <c r="U27" s="542">
        <v>0</v>
      </c>
      <c r="V27" s="542">
        <f>'Giá Máy'!N15</f>
        <v>0</v>
      </c>
      <c r="W27" s="542">
        <f>J27*V27</f>
        <v>0</v>
      </c>
      <c r="X27" s="542">
        <f>'Giá Máy'!O15</f>
        <v>1184116</v>
      </c>
      <c r="Y27" s="542">
        <f>J27*X27</f>
        <v>6763670.5919999992</v>
      </c>
      <c r="Z27" s="542">
        <f>X27-K27</f>
        <v>0</v>
      </c>
      <c r="AA27" s="542">
        <f>J27*Z27</f>
        <v>0</v>
      </c>
    </row>
    <row r="28" spans="1:27" s="379" customFormat="1" ht="30" hidden="1" x14ac:dyDescent="0.25">
      <c r="A28" s="739"/>
      <c r="B28" s="91"/>
      <c r="C28" s="30" t="str">
        <f>'Tiên lượng'!C8</f>
        <v>SA.12112</v>
      </c>
      <c r="D28" s="30"/>
      <c r="E28" s="538" t="str">
        <f>'Tiên lượng'!D8</f>
        <v>Phá dỡ kết cấu bê tông không cốt thép bằng búa căn. (Bê tông mặt đường cũ)</v>
      </c>
      <c r="F28" s="91" t="str">
        <f>'Tiên lượng'!E8</f>
        <v>m3</v>
      </c>
      <c r="G28" s="573">
        <f>'Tiên lượng'!M8</f>
        <v>40.799999999999997</v>
      </c>
      <c r="H28" s="573">
        <f>PTVT!G11</f>
        <v>0.14000000000000001</v>
      </c>
      <c r="I28" s="573">
        <f>'Tiên lượng'!X8</f>
        <v>1</v>
      </c>
      <c r="J28" s="573">
        <f>PRODUCT(G28,H28,I28)</f>
        <v>5.7119999999999997</v>
      </c>
      <c r="K28" s="229"/>
      <c r="L28" s="229"/>
      <c r="M28" s="229"/>
      <c r="N28" s="229"/>
      <c r="O28" s="229"/>
      <c r="P28" s="229"/>
      <c r="Q28" s="229"/>
      <c r="R28" s="229"/>
      <c r="S28" s="229"/>
      <c r="T28" s="229"/>
      <c r="U28" s="229"/>
      <c r="V28" s="229"/>
      <c r="W28" s="229"/>
      <c r="X28" s="229"/>
      <c r="Y28" s="229"/>
      <c r="Z28" s="229"/>
      <c r="AA28" s="229"/>
    </row>
    <row r="29" spans="1:27" x14ac:dyDescent="0.25">
      <c r="A29" s="259" t="s">
        <v>1293</v>
      </c>
      <c r="B29" s="405">
        <v>12</v>
      </c>
      <c r="C29" s="351" t="s">
        <v>698</v>
      </c>
      <c r="D29" s="351">
        <f>'Giá Máy'!D16</f>
        <v>0</v>
      </c>
      <c r="E29" s="828" t="str">
        <f>'Giá Máy'!E16</f>
        <v>Máy trộn bê tông 250 lít</v>
      </c>
      <c r="F29" s="405" t="s">
        <v>1272</v>
      </c>
      <c r="G29" s="853"/>
      <c r="H29" s="853"/>
      <c r="I29" s="853"/>
      <c r="J29" s="853">
        <f>SUM(J30:J30)</f>
        <v>35.330500000000001</v>
      </c>
      <c r="K29" s="542">
        <f>'Giá Máy'!G16</f>
        <v>326306</v>
      </c>
      <c r="L29" s="542">
        <f>J29*K29</f>
        <v>11528554.132999999</v>
      </c>
      <c r="M29" s="542">
        <f>'Giá Máy'!H16</f>
        <v>326306</v>
      </c>
      <c r="N29" s="542">
        <f>J29*M29</f>
        <v>11528554.132999999</v>
      </c>
      <c r="O29" s="542">
        <f>M29-K29</f>
        <v>0</v>
      </c>
      <c r="P29" s="542">
        <f>J29*O29</f>
        <v>0</v>
      </c>
      <c r="Q29" s="542">
        <v>1</v>
      </c>
      <c r="R29" s="542">
        <f>M29*Q29</f>
        <v>326306</v>
      </c>
      <c r="S29" s="542">
        <f>J29*R29</f>
        <v>11528554.132999999</v>
      </c>
      <c r="T29" s="542">
        <v>0</v>
      </c>
      <c r="U29" s="542">
        <v>0</v>
      </c>
      <c r="V29" s="542">
        <f>'Giá Máy'!N16</f>
        <v>0</v>
      </c>
      <c r="W29" s="542">
        <f>J29*V29</f>
        <v>0</v>
      </c>
      <c r="X29" s="542">
        <f>'Giá Máy'!O16</f>
        <v>326306</v>
      </c>
      <c r="Y29" s="542">
        <f>J29*X29</f>
        <v>11528554.132999999</v>
      </c>
      <c r="Z29" s="542">
        <f>X29-K29</f>
        <v>0</v>
      </c>
      <c r="AA29" s="542">
        <f>J29*Z29</f>
        <v>0</v>
      </c>
    </row>
    <row r="30" spans="1:27" s="379" customFormat="1" ht="45" hidden="1" x14ac:dyDescent="0.25">
      <c r="A30" s="739"/>
      <c r="B30" s="91"/>
      <c r="C30" s="30" t="str">
        <f>'Tiên lượng'!C32</f>
        <v>AF.15434A</v>
      </c>
      <c r="D30" s="30"/>
      <c r="E30" s="538" t="str">
        <f>'Tiên lượng'!D32</f>
        <v>Bê tông sản xuất bằng máy trộn và đổ bằng thủ công, bê tông mặt đường dày mặt đường ≤25cm, bê tông M250, đá 2x4, PCB30</v>
      </c>
      <c r="F30" s="91" t="str">
        <f>'Tiên lượng'!E32</f>
        <v>m3</v>
      </c>
      <c r="G30" s="573">
        <f>'Tiên lượng'!M32</f>
        <v>371.90000000000003</v>
      </c>
      <c r="H30" s="573">
        <f>PTVT!G114</f>
        <v>9.5000000000000001E-2</v>
      </c>
      <c r="I30" s="573">
        <f>'Tiên lượng'!X32</f>
        <v>1</v>
      </c>
      <c r="J30" s="573">
        <f>PRODUCT(G30,H30,I30)</f>
        <v>35.330500000000001</v>
      </c>
      <c r="K30" s="229"/>
      <c r="L30" s="229"/>
      <c r="M30" s="229"/>
      <c r="N30" s="229"/>
      <c r="O30" s="229"/>
      <c r="P30" s="229"/>
      <c r="Q30" s="229"/>
      <c r="R30" s="229"/>
      <c r="S30" s="229"/>
      <c r="T30" s="229"/>
      <c r="U30" s="229"/>
      <c r="V30" s="229"/>
      <c r="W30" s="229"/>
      <c r="X30" s="229"/>
      <c r="Y30" s="229"/>
      <c r="Z30" s="229"/>
      <c r="AA30" s="229"/>
    </row>
    <row r="31" spans="1:27" x14ac:dyDescent="0.25">
      <c r="A31" s="259" t="s">
        <v>1293</v>
      </c>
      <c r="B31" s="405">
        <v>13</v>
      </c>
      <c r="C31" s="351" t="s">
        <v>111</v>
      </c>
      <c r="D31" s="351">
        <f>'Giá Máy'!D17</f>
        <v>0</v>
      </c>
      <c r="E31" s="828" t="str">
        <f>'Giá Máy'!E17</f>
        <v>Ô tô tự đổ 12T</v>
      </c>
      <c r="F31" s="405" t="s">
        <v>1272</v>
      </c>
      <c r="G31" s="853"/>
      <c r="H31" s="853"/>
      <c r="I31" s="853"/>
      <c r="J31" s="853">
        <f>SUM(J32:J32)</f>
        <v>1.6718208000000001</v>
      </c>
      <c r="K31" s="542">
        <f>'Giá Máy'!G17</f>
        <v>2347866</v>
      </c>
      <c r="L31" s="542">
        <f>J31*K31</f>
        <v>3925211.2144128</v>
      </c>
      <c r="M31" s="542">
        <f>'Giá Máy'!H17</f>
        <v>2347866</v>
      </c>
      <c r="N31" s="542">
        <f>J31*M31</f>
        <v>3925211.2144128</v>
      </c>
      <c r="O31" s="542">
        <f>M31-K31</f>
        <v>0</v>
      </c>
      <c r="P31" s="542">
        <f>J31*O31</f>
        <v>0</v>
      </c>
      <c r="Q31" s="542">
        <v>1</v>
      </c>
      <c r="R31" s="542">
        <f>M31*Q31</f>
        <v>2347866</v>
      </c>
      <c r="S31" s="542">
        <f>J31*R31</f>
        <v>3925211.2144128</v>
      </c>
      <c r="T31" s="542">
        <v>0</v>
      </c>
      <c r="U31" s="542">
        <v>0</v>
      </c>
      <c r="V31" s="542">
        <f>'Giá Máy'!N17</f>
        <v>0</v>
      </c>
      <c r="W31" s="542">
        <f>J31*V31</f>
        <v>0</v>
      </c>
      <c r="X31" s="542">
        <f>'Giá Máy'!O17</f>
        <v>2347866</v>
      </c>
      <c r="Y31" s="542">
        <f>J31*X31</f>
        <v>3925211.2144128</v>
      </c>
      <c r="Z31" s="542">
        <f>X31-K31</f>
        <v>0</v>
      </c>
      <c r="AA31" s="542">
        <f>J31*Z31</f>
        <v>0</v>
      </c>
    </row>
    <row r="32" spans="1:27" s="379" customFormat="1" ht="30" hidden="1" x14ac:dyDescent="0.25">
      <c r="A32" s="739"/>
      <c r="B32" s="91"/>
      <c r="C32" s="30" t="str">
        <f>'Tiên lượng'!C12</f>
        <v>AB.56412</v>
      </c>
      <c r="D32" s="30"/>
      <c r="E32" s="538" t="str">
        <f>'Tiên lượng'!D12</f>
        <v>Vận chuyển đá tảng, cục bê tông, ĐK 0,4÷1m, ô tô tự đổ 12T trong phạm vi ≤1000m</v>
      </c>
      <c r="F32" s="91" t="str">
        <f>'Tiên lượng'!E12</f>
        <v>100m3</v>
      </c>
      <c r="G32" s="573">
        <f>'Tiên lượng'!M12</f>
        <v>0.53039999999999998</v>
      </c>
      <c r="H32" s="573">
        <f>PTVT!G19</f>
        <v>3.1520000000000001</v>
      </c>
      <c r="I32" s="573">
        <f>'Tiên lượng'!X12</f>
        <v>1</v>
      </c>
      <c r="J32" s="573">
        <f>PRODUCT(G32,H32,I32)</f>
        <v>1.6718208000000001</v>
      </c>
      <c r="K32" s="229"/>
      <c r="L32" s="229"/>
      <c r="M32" s="229"/>
      <c r="N32" s="229"/>
      <c r="O32" s="229"/>
      <c r="P32" s="229"/>
      <c r="Q32" s="229"/>
      <c r="R32" s="229"/>
      <c r="S32" s="229"/>
      <c r="T32" s="229"/>
      <c r="U32" s="229"/>
      <c r="V32" s="229"/>
      <c r="W32" s="229"/>
      <c r="X32" s="229"/>
      <c r="Y32" s="229"/>
      <c r="Z32" s="229"/>
      <c r="AA32" s="229"/>
    </row>
    <row r="33" spans="1:27" x14ac:dyDescent="0.25">
      <c r="A33" s="259" t="s">
        <v>1293</v>
      </c>
      <c r="B33" s="405">
        <v>14</v>
      </c>
      <c r="C33" s="351" t="s">
        <v>691</v>
      </c>
      <c r="D33" s="351">
        <f>'Giá Máy'!D18</f>
        <v>0</v>
      </c>
      <c r="E33" s="828" t="str">
        <f>'Giá Máy'!E18</f>
        <v>Ô tô tự đổ 7T</v>
      </c>
      <c r="F33" s="405" t="s">
        <v>1272</v>
      </c>
      <c r="G33" s="853"/>
      <c r="H33" s="853"/>
      <c r="I33" s="853"/>
      <c r="J33" s="853">
        <f>SUM(J34:J34)</f>
        <v>1</v>
      </c>
      <c r="K33" s="542">
        <f>'Giá Máy'!G18</f>
        <v>2000000</v>
      </c>
      <c r="L33" s="542">
        <f>J33*K33</f>
        <v>2000000</v>
      </c>
      <c r="M33" s="542">
        <f>'Giá Máy'!H18</f>
        <v>2000000</v>
      </c>
      <c r="N33" s="542">
        <f>J33*M33</f>
        <v>2000000</v>
      </c>
      <c r="O33" s="542">
        <f>M33-K33</f>
        <v>0</v>
      </c>
      <c r="P33" s="542">
        <f>J33*O33</f>
        <v>0</v>
      </c>
      <c r="Q33" s="542">
        <v>1</v>
      </c>
      <c r="R33" s="542">
        <f>M33*Q33</f>
        <v>2000000</v>
      </c>
      <c r="S33" s="542">
        <f>J33*R33</f>
        <v>2000000</v>
      </c>
      <c r="T33" s="542">
        <v>0</v>
      </c>
      <c r="U33" s="542">
        <v>0</v>
      </c>
      <c r="V33" s="542">
        <f>'Giá Máy'!N18</f>
        <v>0</v>
      </c>
      <c r="W33" s="542">
        <f>J33*V33</f>
        <v>0</v>
      </c>
      <c r="X33" s="542">
        <f>'Giá Máy'!O18</f>
        <v>2000000</v>
      </c>
      <c r="Y33" s="542">
        <f>J33*X33</f>
        <v>2000000</v>
      </c>
      <c r="Z33" s="542">
        <f>X33-K33</f>
        <v>0</v>
      </c>
      <c r="AA33" s="542">
        <f>J33*Z33</f>
        <v>0</v>
      </c>
    </row>
    <row r="34" spans="1:27" s="379" customFormat="1" ht="30" hidden="1" x14ac:dyDescent="0.25">
      <c r="A34" s="739"/>
      <c r="B34" s="91"/>
      <c r="C34" s="30" t="str">
        <f>'Tiên lượng'!C17</f>
        <v>AB.41123.VD</v>
      </c>
      <c r="D34" s="30"/>
      <c r="E34" s="538" t="str">
        <f>'Tiên lượng'!D17</f>
        <v>Vận chuyển đất bằng ô tô tự đổ 7T, phạm vi ≤300m - Cấp đất III</v>
      </c>
      <c r="F34" s="91" t="str">
        <f>'Tiên lượng'!E17</f>
        <v>ca</v>
      </c>
      <c r="G34" s="573">
        <f>'Tiên lượng'!M17</f>
        <v>1</v>
      </c>
      <c r="H34" s="573">
        <f>PTVT!G41</f>
        <v>1</v>
      </c>
      <c r="I34" s="573">
        <f>'Tiên lượng'!X17</f>
        <v>1</v>
      </c>
      <c r="J34" s="573">
        <f>PRODUCT(G34,H34,I34)</f>
        <v>1</v>
      </c>
      <c r="K34" s="229"/>
      <c r="L34" s="229"/>
      <c r="M34" s="229"/>
      <c r="N34" s="229"/>
      <c r="O34" s="229"/>
      <c r="P34" s="229"/>
      <c r="Q34" s="229"/>
      <c r="R34" s="229"/>
      <c r="S34" s="229"/>
      <c r="T34" s="229"/>
      <c r="U34" s="229"/>
      <c r="V34" s="229"/>
      <c r="W34" s="229"/>
      <c r="X34" s="229"/>
      <c r="Y34" s="229"/>
      <c r="Z34" s="229"/>
      <c r="AA34" s="229"/>
    </row>
    <row r="35" spans="1:27" x14ac:dyDescent="0.25">
      <c r="A35" s="259" t="s">
        <v>1293</v>
      </c>
      <c r="B35" s="405">
        <v>15</v>
      </c>
      <c r="C35" s="351" t="s">
        <v>1073</v>
      </c>
      <c r="D35" s="351">
        <f>'Giá Máy'!D19</f>
        <v>0</v>
      </c>
      <c r="E35" s="828" t="str">
        <f>'Giá Máy'!E19</f>
        <v>Ô tô tưới nước 5m3</v>
      </c>
      <c r="F35" s="405" t="s">
        <v>1272</v>
      </c>
      <c r="G35" s="853"/>
      <c r="H35" s="853"/>
      <c r="I35" s="853"/>
      <c r="J35" s="853">
        <f>SUM(J36:J36)</f>
        <v>0.105</v>
      </c>
      <c r="K35" s="542">
        <f>'Giá Máy'!G19</f>
        <v>1152070</v>
      </c>
      <c r="L35" s="542">
        <f>J35*K35</f>
        <v>120967.34999999999</v>
      </c>
      <c r="M35" s="542">
        <f>'Giá Máy'!H19</f>
        <v>1152070</v>
      </c>
      <c r="N35" s="542">
        <f>J35*M35</f>
        <v>120967.34999999999</v>
      </c>
      <c r="O35" s="542">
        <f>M35-K35</f>
        <v>0</v>
      </c>
      <c r="P35" s="542">
        <f>J35*O35</f>
        <v>0</v>
      </c>
      <c r="Q35" s="542">
        <v>1</v>
      </c>
      <c r="R35" s="542">
        <f>M35*Q35</f>
        <v>1152070</v>
      </c>
      <c r="S35" s="542">
        <f>J35*R35</f>
        <v>120967.34999999999</v>
      </c>
      <c r="T35" s="542">
        <v>0</v>
      </c>
      <c r="U35" s="542">
        <v>0</v>
      </c>
      <c r="V35" s="542">
        <f>'Giá Máy'!N19</f>
        <v>0</v>
      </c>
      <c r="W35" s="542">
        <f>J35*V35</f>
        <v>0</v>
      </c>
      <c r="X35" s="542">
        <f>'Giá Máy'!O19</f>
        <v>1152070</v>
      </c>
      <c r="Y35" s="542">
        <f>J35*X35</f>
        <v>120967.34999999999</v>
      </c>
      <c r="Z35" s="542">
        <f>X35-K35</f>
        <v>0</v>
      </c>
      <c r="AA35" s="542">
        <f>J35*Z35</f>
        <v>0</v>
      </c>
    </row>
    <row r="36" spans="1:27" s="379" customFormat="1" ht="30" hidden="1" x14ac:dyDescent="0.25">
      <c r="A36" s="739"/>
      <c r="B36" s="91"/>
      <c r="C36" s="30" t="str">
        <f>'Tiên lượng'!C18</f>
        <v>AD.11212.VD</v>
      </c>
      <c r="D36" s="30"/>
      <c r="E36" s="538" t="str">
        <f>'Tiên lượng'!D18</f>
        <v>Bù vênh mặt đường bằng Đá dăm cấp phối loại II (Subbase)</v>
      </c>
      <c r="F36" s="91" t="str">
        <f>'Tiên lượng'!E18</f>
        <v>100m3</v>
      </c>
      <c r="G36" s="573">
        <f>'Tiên lượng'!M18</f>
        <v>0.5</v>
      </c>
      <c r="H36" s="573">
        <f>PTVT!G49</f>
        <v>0.21</v>
      </c>
      <c r="I36" s="573">
        <f>'Tiên lượng'!X18</f>
        <v>1</v>
      </c>
      <c r="J36" s="573">
        <f>PRODUCT(G36,H36,I36)</f>
        <v>0.105</v>
      </c>
      <c r="K36" s="229"/>
      <c r="L36" s="229"/>
      <c r="M36" s="229"/>
      <c r="N36" s="229"/>
      <c r="O36" s="229"/>
      <c r="P36" s="229"/>
      <c r="Q36" s="229"/>
      <c r="R36" s="229"/>
      <c r="S36" s="229"/>
      <c r="T36" s="229"/>
      <c r="U36" s="229"/>
      <c r="V36" s="229"/>
      <c r="W36" s="229"/>
      <c r="X36" s="229"/>
      <c r="Y36" s="229"/>
      <c r="Z36" s="229"/>
      <c r="AA36" s="229"/>
    </row>
    <row r="37" spans="1:27" ht="30" x14ac:dyDescent="0.25">
      <c r="A37" s="259" t="s">
        <v>1293</v>
      </c>
      <c r="B37" s="405">
        <v>16</v>
      </c>
      <c r="C37" s="351" t="s">
        <v>172</v>
      </c>
      <c r="D37" s="351" t="s">
        <v>172</v>
      </c>
      <c r="E37" s="828" t="s">
        <v>576</v>
      </c>
      <c r="F37" s="405" t="s">
        <v>1272</v>
      </c>
      <c r="G37" s="853"/>
      <c r="H37" s="853"/>
      <c r="I37" s="853"/>
      <c r="J37" s="853">
        <f>SUM(J38:J38)</f>
        <v>2</v>
      </c>
      <c r="K37" s="542">
        <f>'Tiên lượng'!Q13/'Tiên lượng'!X13</f>
        <v>3200000</v>
      </c>
      <c r="L37" s="542">
        <f>J37*K37</f>
        <v>6400000</v>
      </c>
      <c r="M37" s="542">
        <f>'Tiên lượng'!Q13/'Tiên lượng'!X13</f>
        <v>3200000</v>
      </c>
      <c r="N37" s="542">
        <f>J37*M37</f>
        <v>6400000</v>
      </c>
      <c r="O37" s="542">
        <f>M37-K37</f>
        <v>0</v>
      </c>
      <c r="P37" s="542">
        <f>J37*O37</f>
        <v>0</v>
      </c>
      <c r="Q37" s="542">
        <v>1</v>
      </c>
      <c r="R37" s="542">
        <f>M37*Q37</f>
        <v>3200000</v>
      </c>
      <c r="S37" s="542">
        <f>J37*R37</f>
        <v>6400000</v>
      </c>
      <c r="T37" s="542">
        <v>0</v>
      </c>
      <c r="U37" s="542">
        <v>0</v>
      </c>
      <c r="V37" s="542">
        <f>0</f>
        <v>0</v>
      </c>
      <c r="W37" s="542">
        <f>J37*V37</f>
        <v>0</v>
      </c>
      <c r="X37" s="542">
        <f>'Tiên lượng'!Q13/'Tiên lượng'!X13</f>
        <v>3200000</v>
      </c>
      <c r="Y37" s="542">
        <f>J37*X37</f>
        <v>6400000</v>
      </c>
      <c r="Z37" s="542">
        <f>X37-K37</f>
        <v>0</v>
      </c>
      <c r="AA37" s="542">
        <f>J37*Z37</f>
        <v>0</v>
      </c>
    </row>
    <row r="38" spans="1:27" s="379" customFormat="1" ht="30" hidden="1" x14ac:dyDescent="0.25">
      <c r="A38" s="739"/>
      <c r="B38" s="91"/>
      <c r="C38" s="30" t="str">
        <f>'Tiên lượng'!C13</f>
        <v>TT</v>
      </c>
      <c r="D38" s="30"/>
      <c r="E38" s="538" t="str">
        <f>'Tiên lượng'!D13</f>
        <v>Đào xúc đất sạt lở ta luy đồi xuống đường bằng máy xúc đào 0,4m3</v>
      </c>
      <c r="F38" s="91" t="str">
        <f>'Tiên lượng'!E13</f>
        <v>ca</v>
      </c>
      <c r="G38" s="573">
        <f>'Tiên lượng'!M13</f>
        <v>2</v>
      </c>
      <c r="H38" s="573">
        <f>1</f>
        <v>1</v>
      </c>
      <c r="I38" s="573">
        <f>'Tiên lượng'!X13</f>
        <v>1</v>
      </c>
      <c r="J38" s="573">
        <f>PRODUCT(G38,H38,I38)</f>
        <v>2</v>
      </c>
      <c r="K38" s="229"/>
      <c r="L38" s="229"/>
      <c r="M38" s="229"/>
      <c r="N38" s="229"/>
      <c r="O38" s="229"/>
      <c r="P38" s="229"/>
      <c r="Q38" s="229"/>
      <c r="R38" s="229"/>
      <c r="S38" s="229"/>
      <c r="T38" s="229"/>
      <c r="U38" s="229"/>
      <c r="V38" s="229"/>
      <c r="W38" s="229"/>
      <c r="X38" s="229"/>
      <c r="Y38" s="229"/>
      <c r="Z38" s="229"/>
      <c r="AA38" s="229"/>
    </row>
    <row r="39" spans="1:27" x14ac:dyDescent="0.25">
      <c r="A39" s="259" t="s">
        <v>1293</v>
      </c>
      <c r="B39" s="405">
        <v>17</v>
      </c>
      <c r="C39" s="351" t="s">
        <v>172</v>
      </c>
      <c r="D39" s="351" t="s">
        <v>172</v>
      </c>
      <c r="E39" s="828" t="s">
        <v>711</v>
      </c>
      <c r="F39" s="405" t="s">
        <v>1272</v>
      </c>
      <c r="G39" s="853"/>
      <c r="H39" s="853"/>
      <c r="I39" s="853"/>
      <c r="J39" s="853">
        <f>SUM(J40:J40)</f>
        <v>1</v>
      </c>
      <c r="K39" s="542">
        <f>'Tiên lượng'!Q44/'Tiên lượng'!X44</f>
        <v>2000000</v>
      </c>
      <c r="L39" s="542">
        <f>J39*K39</f>
        <v>2000000</v>
      </c>
      <c r="M39" s="542">
        <f>'Tiên lượng'!Q44/'Tiên lượng'!X44</f>
        <v>2000000</v>
      </c>
      <c r="N39" s="542">
        <f>J39*M39</f>
        <v>2000000</v>
      </c>
      <c r="O39" s="542">
        <f>M39-K39</f>
        <v>0</v>
      </c>
      <c r="P39" s="542">
        <f>J39*O39</f>
        <v>0</v>
      </c>
      <c r="Q39" s="542">
        <v>1</v>
      </c>
      <c r="R39" s="542">
        <f>M39*Q39</f>
        <v>2000000</v>
      </c>
      <c r="S39" s="542">
        <f>J39*R39</f>
        <v>2000000</v>
      </c>
      <c r="T39" s="542">
        <v>0</v>
      </c>
      <c r="U39" s="542">
        <v>0</v>
      </c>
      <c r="V39" s="542">
        <f>0</f>
        <v>0</v>
      </c>
      <c r="W39" s="542">
        <f>J39*V39</f>
        <v>0</v>
      </c>
      <c r="X39" s="542">
        <f>'Tiên lượng'!Q44/'Tiên lượng'!X44</f>
        <v>2000000</v>
      </c>
      <c r="Y39" s="542">
        <f>J39*X39</f>
        <v>2000000</v>
      </c>
      <c r="Z39" s="542">
        <f>X39-K39</f>
        <v>0</v>
      </c>
      <c r="AA39" s="542">
        <f>J39*Z39</f>
        <v>0</v>
      </c>
    </row>
    <row r="40" spans="1:27" s="379" customFormat="1" hidden="1" x14ac:dyDescent="0.25">
      <c r="A40" s="739"/>
      <c r="B40" s="91"/>
      <c r="C40" s="30" t="str">
        <f>'Tiên lượng'!C44</f>
        <v>TT</v>
      </c>
      <c r="D40" s="30"/>
      <c r="E40" s="538" t="str">
        <f>'Tiên lượng'!D44</f>
        <v>Ô tô vận chuyển đất đi đổ</v>
      </c>
      <c r="F40" s="91" t="str">
        <f>'Tiên lượng'!E44</f>
        <v>ca</v>
      </c>
      <c r="G40" s="573">
        <f>'Tiên lượng'!M44</f>
        <v>1</v>
      </c>
      <c r="H40" s="573">
        <f>1</f>
        <v>1</v>
      </c>
      <c r="I40" s="573">
        <f>'Tiên lượng'!X44</f>
        <v>1</v>
      </c>
      <c r="J40" s="573">
        <f>PRODUCT(G40,H40,I40)</f>
        <v>1</v>
      </c>
      <c r="K40" s="229"/>
      <c r="L40" s="229"/>
      <c r="M40" s="229"/>
      <c r="N40" s="229"/>
      <c r="O40" s="229"/>
      <c r="P40" s="229"/>
      <c r="Q40" s="229"/>
      <c r="R40" s="229"/>
      <c r="S40" s="229"/>
      <c r="T40" s="229"/>
      <c r="U40" s="229"/>
      <c r="V40" s="229"/>
      <c r="W40" s="229"/>
      <c r="X40" s="229"/>
      <c r="Y40" s="229"/>
      <c r="Z40" s="229"/>
      <c r="AA40" s="229"/>
    </row>
    <row r="41" spans="1:27" x14ac:dyDescent="0.25">
      <c r="A41" s="259" t="s">
        <v>1293</v>
      </c>
      <c r="B41" s="405">
        <v>18</v>
      </c>
      <c r="C41" s="351" t="s">
        <v>172</v>
      </c>
      <c r="D41" s="351" t="s">
        <v>172</v>
      </c>
      <c r="E41" s="828" t="s">
        <v>1377</v>
      </c>
      <c r="F41" s="405" t="s">
        <v>1272</v>
      </c>
      <c r="G41" s="853"/>
      <c r="H41" s="853"/>
      <c r="I41" s="853"/>
      <c r="J41" s="853">
        <f>SUM(J42:J42)</f>
        <v>2</v>
      </c>
      <c r="K41" s="542">
        <f>'Tiên lượng'!Q14/'Tiên lượng'!X14</f>
        <v>2000000</v>
      </c>
      <c r="L41" s="542">
        <f>J41*K41</f>
        <v>4000000</v>
      </c>
      <c r="M41" s="542">
        <f>'Tiên lượng'!Q14/'Tiên lượng'!X14</f>
        <v>2000000</v>
      </c>
      <c r="N41" s="542">
        <f>J41*M41</f>
        <v>4000000</v>
      </c>
      <c r="O41" s="542">
        <f>M41-K41</f>
        <v>0</v>
      </c>
      <c r="P41" s="542">
        <f>J41*O41</f>
        <v>0</v>
      </c>
      <c r="Q41" s="542">
        <v>1</v>
      </c>
      <c r="R41" s="542">
        <f>M41*Q41</f>
        <v>2000000</v>
      </c>
      <c r="S41" s="542">
        <f>J41*R41</f>
        <v>4000000</v>
      </c>
      <c r="T41" s="542">
        <v>0</v>
      </c>
      <c r="U41" s="542">
        <v>0</v>
      </c>
      <c r="V41" s="542">
        <f>0</f>
        <v>0</v>
      </c>
      <c r="W41" s="542">
        <f>J41*V41</f>
        <v>0</v>
      </c>
      <c r="X41" s="542">
        <f>'Tiên lượng'!Q14/'Tiên lượng'!X14</f>
        <v>2000000</v>
      </c>
      <c r="Y41" s="542">
        <f>J41*X41</f>
        <v>4000000</v>
      </c>
      <c r="Z41" s="542">
        <f>X41-K41</f>
        <v>0</v>
      </c>
      <c r="AA41" s="542">
        <f>J41*Z41</f>
        <v>0</v>
      </c>
    </row>
    <row r="42" spans="1:27" s="379" customFormat="1" hidden="1" x14ac:dyDescent="0.25">
      <c r="A42" s="739"/>
      <c r="B42" s="91"/>
      <c r="C42" s="30" t="str">
        <f>'Tiên lượng'!C14</f>
        <v>TT</v>
      </c>
      <c r="D42" s="30"/>
      <c r="E42" s="538" t="str">
        <f>'Tiên lượng'!D14</f>
        <v>vận chuyển đất sạt lở ta luy đồi bằng ô tô</v>
      </c>
      <c r="F42" s="91" t="str">
        <f>'Tiên lượng'!E14</f>
        <v>ca</v>
      </c>
      <c r="G42" s="573">
        <f>'Tiên lượng'!M14</f>
        <v>2</v>
      </c>
      <c r="H42" s="573">
        <f>1</f>
        <v>1</v>
      </c>
      <c r="I42" s="573">
        <f>'Tiên lượng'!X14</f>
        <v>1</v>
      </c>
      <c r="J42" s="573">
        <f>PRODUCT(G42,H42,I42)</f>
        <v>2</v>
      </c>
      <c r="K42" s="229"/>
      <c r="L42" s="229"/>
      <c r="M42" s="229"/>
      <c r="N42" s="229"/>
      <c r="O42" s="229"/>
      <c r="P42" s="229"/>
      <c r="Q42" s="229"/>
      <c r="R42" s="229"/>
      <c r="S42" s="229"/>
      <c r="T42" s="229"/>
      <c r="U42" s="229"/>
      <c r="V42" s="229"/>
      <c r="W42" s="229"/>
      <c r="X42" s="229"/>
      <c r="Y42" s="229"/>
      <c r="Z42" s="229"/>
      <c r="AA42" s="229"/>
    </row>
    <row r="43" spans="1:27" x14ac:dyDescent="0.25">
      <c r="A43" s="259" t="s">
        <v>1293</v>
      </c>
      <c r="B43" s="405">
        <v>19</v>
      </c>
      <c r="C43" s="351" t="s">
        <v>505</v>
      </c>
      <c r="D43" s="351" t="s">
        <v>505</v>
      </c>
      <c r="E43" s="828" t="s">
        <v>963</v>
      </c>
      <c r="F43" s="405" t="s">
        <v>1272</v>
      </c>
      <c r="G43" s="853"/>
      <c r="H43" s="853"/>
      <c r="I43" s="853"/>
      <c r="J43" s="853">
        <f>SUM(J44:J44)</f>
        <v>1</v>
      </c>
      <c r="K43" s="542">
        <v>5000000</v>
      </c>
      <c r="L43" s="542">
        <f>J43*K43</f>
        <v>5000000</v>
      </c>
      <c r="M43" s="542">
        <v>5000000</v>
      </c>
      <c r="N43" s="542">
        <f>J43*M43</f>
        <v>5000000</v>
      </c>
      <c r="O43" s="542">
        <f>M43-K43</f>
        <v>0</v>
      </c>
      <c r="P43" s="542">
        <f>J43*O43</f>
        <v>0</v>
      </c>
      <c r="Q43" s="542">
        <v>1</v>
      </c>
      <c r="R43" s="542">
        <f>M43*Q43</f>
        <v>5000000</v>
      </c>
      <c r="S43" s="542">
        <f>J43*R43</f>
        <v>5000000</v>
      </c>
      <c r="T43" s="542">
        <v>0</v>
      </c>
      <c r="U43" s="542">
        <v>0</v>
      </c>
      <c r="V43" s="542">
        <v>0</v>
      </c>
      <c r="W43" s="542">
        <f>J43*V43</f>
        <v>0</v>
      </c>
      <c r="X43" s="542">
        <v>5000000</v>
      </c>
      <c r="Y43" s="542">
        <f>J43*X43</f>
        <v>5000000</v>
      </c>
      <c r="Z43" s="542">
        <f>X43-K43</f>
        <v>0</v>
      </c>
      <c r="AA43" s="542">
        <f>J43*Z43</f>
        <v>0</v>
      </c>
    </row>
    <row r="44" spans="1:27" s="379" customFormat="1" hidden="1" x14ac:dyDescent="0.25">
      <c r="A44" s="739"/>
      <c r="B44" s="91"/>
      <c r="C44" s="30" t="str">
        <f>'Tiên lượng'!C22</f>
        <v>TT.00001</v>
      </c>
      <c r="D44" s="30"/>
      <c r="E44" s="538" t="str">
        <f>'Tiên lượng'!D22</f>
        <v xml:space="preserve">San gạt tạo phẳng nền đường bằng máy San </v>
      </c>
      <c r="F44" s="91" t="str">
        <f>'Tiên lượng'!E22</f>
        <v>ca</v>
      </c>
      <c r="G44" s="573">
        <f>'Tiên lượng'!M22</f>
        <v>1</v>
      </c>
      <c r="H44" s="573">
        <f>1</f>
        <v>1</v>
      </c>
      <c r="I44" s="573">
        <f>'Tiên lượng'!X22</f>
        <v>1</v>
      </c>
      <c r="J44" s="573">
        <f>PRODUCT(G44,H44,I44)</f>
        <v>1</v>
      </c>
      <c r="K44" s="229"/>
      <c r="L44" s="229"/>
      <c r="M44" s="229"/>
      <c r="N44" s="229"/>
      <c r="O44" s="229"/>
      <c r="P44" s="229"/>
      <c r="Q44" s="229"/>
      <c r="R44" s="229"/>
      <c r="S44" s="229"/>
      <c r="T44" s="229"/>
      <c r="U44" s="229"/>
      <c r="V44" s="229"/>
      <c r="W44" s="229"/>
      <c r="X44" s="229"/>
      <c r="Y44" s="229"/>
      <c r="Z44" s="229"/>
      <c r="AA44" s="229"/>
    </row>
    <row r="45" spans="1:27" x14ac:dyDescent="0.25">
      <c r="A45" s="259" t="s">
        <v>1293</v>
      </c>
      <c r="B45" s="405">
        <v>20</v>
      </c>
      <c r="C45" s="351" t="s">
        <v>760</v>
      </c>
      <c r="D45" s="351"/>
      <c r="E45" s="828" t="s">
        <v>1321</v>
      </c>
      <c r="F45" s="405" t="s">
        <v>1086</v>
      </c>
      <c r="G45" s="853"/>
      <c r="H45" s="853"/>
      <c r="I45" s="853"/>
      <c r="J45" s="853">
        <f>SUM(J46:J49)</f>
        <v>773.18600000000004</v>
      </c>
      <c r="K45" s="542">
        <v>0</v>
      </c>
      <c r="L45" s="542">
        <f>SUM(L46:L49)</f>
        <v>623907.18766320008</v>
      </c>
      <c r="M45" s="542">
        <v>0</v>
      </c>
      <c r="N45" s="542">
        <f>SUM(N46:N49)</f>
        <v>623907.18766320008</v>
      </c>
      <c r="O45" s="542">
        <v>0</v>
      </c>
      <c r="P45" s="542">
        <v>0</v>
      </c>
      <c r="Q45" s="542">
        <v>1</v>
      </c>
      <c r="R45" s="542">
        <v>0</v>
      </c>
      <c r="S45" s="542">
        <f>SUM(S46:S49)</f>
        <v>623907.18766320008</v>
      </c>
      <c r="T45" s="542">
        <v>0</v>
      </c>
      <c r="U45" s="542">
        <v>0</v>
      </c>
      <c r="V45" s="542">
        <v>0</v>
      </c>
      <c r="W45" s="542">
        <f>SUM(W46:W49)</f>
        <v>0</v>
      </c>
      <c r="X45" s="542">
        <v>0</v>
      </c>
      <c r="Y45" s="542">
        <f>SUM(Y46:Y49)</f>
        <v>623907.18766320008</v>
      </c>
      <c r="Z45" s="542"/>
      <c r="AA45" s="542">
        <f>SUM(AA46:AA49)</f>
        <v>0</v>
      </c>
    </row>
    <row r="46" spans="1:27" s="379" customFormat="1" ht="30" hidden="1" x14ac:dyDescent="0.25">
      <c r="A46" s="739"/>
      <c r="B46" s="91"/>
      <c r="C46" s="30" t="str">
        <f>'Tiên lượng'!C24</f>
        <v>BB.11211</v>
      </c>
      <c r="D46" s="30"/>
      <c r="E46" s="538" t="str">
        <f>'Tiên lượng'!D24</f>
        <v>Lắp đặt ống bê tông bằng cần cẩu, đoạn ống dài 1m - Đường kính ≤600mm</v>
      </c>
      <c r="F46" s="91" t="str">
        <f>'Tiên lượng'!E24</f>
        <v>1 đoạn ống</v>
      </c>
      <c r="G46" s="573">
        <f>'Tiên lượng'!M24</f>
        <v>5</v>
      </c>
      <c r="H46" s="573">
        <f>PTVT!G78</f>
        <v>5</v>
      </c>
      <c r="I46" s="573">
        <f>'Tiên lượng'!X24</f>
        <v>1</v>
      </c>
      <c r="J46" s="573">
        <f t="shared" ref="J46:J49" si="1">PRODUCT(G46,H46,I46)</f>
        <v>25</v>
      </c>
      <c r="K46" s="229">
        <f>PTVT!J78</f>
        <v>603.21396000000004</v>
      </c>
      <c r="L46" s="229">
        <f t="shared" ref="L46:L49" si="2">J46*K46</f>
        <v>15080.349000000002</v>
      </c>
      <c r="M46" s="229">
        <f>PTVT!L78</f>
        <v>603.21396000000004</v>
      </c>
      <c r="N46" s="229">
        <f t="shared" ref="N46:N49" si="3">J46*M46</f>
        <v>15080.349000000002</v>
      </c>
      <c r="O46" s="229">
        <f t="shared" ref="O46:O49" si="4">M46-K46</f>
        <v>0</v>
      </c>
      <c r="P46" s="229">
        <f t="shared" ref="P46:P49" si="5">J46*O46</f>
        <v>0</v>
      </c>
      <c r="Q46" s="229">
        <v>1</v>
      </c>
      <c r="R46" s="229">
        <f t="shared" ref="R46:R49" si="6">M46*Q46</f>
        <v>603.21396000000004</v>
      </c>
      <c r="S46" s="229">
        <f t="shared" ref="S46:S49" si="7">J46*R46</f>
        <v>15080.349000000002</v>
      </c>
      <c r="T46" s="229"/>
      <c r="U46" s="229"/>
      <c r="V46" s="229">
        <v>0</v>
      </c>
      <c r="W46" s="229">
        <f t="shared" ref="W46:W49" si="8">J46*V46</f>
        <v>0</v>
      </c>
      <c r="X46" s="229">
        <f>PTVT!P78</f>
        <v>603.21396000000004</v>
      </c>
      <c r="Y46" s="229">
        <f t="shared" ref="Y46:Y49" si="9">J46*X46</f>
        <v>15080.349000000002</v>
      </c>
      <c r="Z46" s="229">
        <f t="shared" ref="Z46:Z49" si="10">X46-K46</f>
        <v>0</v>
      </c>
      <c r="AA46" s="229">
        <f t="shared" ref="AA46:AA49" si="11">J46*Z46</f>
        <v>0</v>
      </c>
    </row>
    <row r="47" spans="1:27" s="379" customFormat="1" ht="45" hidden="1" x14ac:dyDescent="0.25">
      <c r="A47" s="739"/>
      <c r="B47" s="91"/>
      <c r="C47" s="30" t="str">
        <f>'Tiên lượng'!C32</f>
        <v>AF.15434A</v>
      </c>
      <c r="D47" s="30"/>
      <c r="E47" s="538" t="str">
        <f>'Tiên lượng'!D32</f>
        <v>Bê tông sản xuất bằng máy trộn và đổ bằng thủ công, bê tông mặt đường dày mặt đường ≤25cm, bê tông M250, đá 2x4, PCB30</v>
      </c>
      <c r="F47" s="91" t="str">
        <f>'Tiên lượng'!E32</f>
        <v>m3</v>
      </c>
      <c r="G47" s="573">
        <f>'Tiên lượng'!M32</f>
        <v>371.90000000000003</v>
      </c>
      <c r="H47" s="573">
        <f>PTVT!G117</f>
        <v>2</v>
      </c>
      <c r="I47" s="573">
        <f>'Tiên lượng'!X32</f>
        <v>1</v>
      </c>
      <c r="J47" s="573">
        <f t="shared" si="1"/>
        <v>743.80000000000007</v>
      </c>
      <c r="K47" s="229">
        <f>PTVT!J117</f>
        <v>806.74419999999998</v>
      </c>
      <c r="L47" s="229">
        <f t="shared" si="2"/>
        <v>600056.33596000005</v>
      </c>
      <c r="M47" s="229">
        <f>PTVT!L117</f>
        <v>806.74419999999998</v>
      </c>
      <c r="N47" s="229">
        <f t="shared" si="3"/>
        <v>600056.33596000005</v>
      </c>
      <c r="O47" s="229">
        <f t="shared" si="4"/>
        <v>0</v>
      </c>
      <c r="P47" s="229">
        <f t="shared" si="5"/>
        <v>0</v>
      </c>
      <c r="Q47" s="229">
        <v>1</v>
      </c>
      <c r="R47" s="229">
        <f t="shared" si="6"/>
        <v>806.74419999999998</v>
      </c>
      <c r="S47" s="229">
        <f t="shared" si="7"/>
        <v>600056.33596000005</v>
      </c>
      <c r="T47" s="229"/>
      <c r="U47" s="229"/>
      <c r="V47" s="229">
        <v>0</v>
      </c>
      <c r="W47" s="229">
        <f t="shared" si="8"/>
        <v>0</v>
      </c>
      <c r="X47" s="229">
        <f>PTVT!P117</f>
        <v>806.74419999999998</v>
      </c>
      <c r="Y47" s="229">
        <f t="shared" si="9"/>
        <v>600056.33596000005</v>
      </c>
      <c r="Z47" s="229">
        <f t="shared" si="10"/>
        <v>0</v>
      </c>
      <c r="AA47" s="229">
        <f t="shared" si="11"/>
        <v>0</v>
      </c>
    </row>
    <row r="48" spans="1:27" s="379" customFormat="1" hidden="1" x14ac:dyDescent="0.25">
      <c r="A48" s="739"/>
      <c r="B48" s="91"/>
      <c r="C48" s="30" t="str">
        <f>'Tiên lượng'!C30</f>
        <v>AF.82411</v>
      </c>
      <c r="D48" s="30"/>
      <c r="E48" s="538" t="str">
        <f>'Tiên lượng'!D30</f>
        <v>Ván khuôn thép mặt đường bê tông</v>
      </c>
      <c r="F48" s="91" t="str">
        <f>'Tiên lượng'!E30</f>
        <v>100m2</v>
      </c>
      <c r="G48" s="573">
        <f>'Tiên lượng'!M30</f>
        <v>2.0680000000000001</v>
      </c>
      <c r="H48" s="573">
        <f>PTVT!G101</f>
        <v>2</v>
      </c>
      <c r="I48" s="573">
        <f>'Tiên lượng'!X30</f>
        <v>1</v>
      </c>
      <c r="J48" s="573">
        <f t="shared" si="1"/>
        <v>4.1360000000000001</v>
      </c>
      <c r="K48" s="229">
        <f>PTVT!J101</f>
        <v>1793.3411999999998</v>
      </c>
      <c r="L48" s="229">
        <f t="shared" si="2"/>
        <v>7417.2592031999993</v>
      </c>
      <c r="M48" s="229">
        <f>PTVT!L101</f>
        <v>1793.3411999999998</v>
      </c>
      <c r="N48" s="229">
        <f t="shared" si="3"/>
        <v>7417.2592031999993</v>
      </c>
      <c r="O48" s="229">
        <f t="shared" si="4"/>
        <v>0</v>
      </c>
      <c r="P48" s="229">
        <f t="shared" si="5"/>
        <v>0</v>
      </c>
      <c r="Q48" s="229">
        <v>1</v>
      </c>
      <c r="R48" s="229">
        <f t="shared" si="6"/>
        <v>1793.3411999999998</v>
      </c>
      <c r="S48" s="229">
        <f t="shared" si="7"/>
        <v>7417.2592031999993</v>
      </c>
      <c r="T48" s="229"/>
      <c r="U48" s="229"/>
      <c r="V48" s="229">
        <v>0</v>
      </c>
      <c r="W48" s="229">
        <f t="shared" si="8"/>
        <v>0</v>
      </c>
      <c r="X48" s="229">
        <f>PTVT!P101</f>
        <v>1793.3411999999998</v>
      </c>
      <c r="Y48" s="229">
        <f t="shared" si="9"/>
        <v>7417.2592031999993</v>
      </c>
      <c r="Z48" s="229">
        <f t="shared" si="10"/>
        <v>0</v>
      </c>
      <c r="AA48" s="229">
        <f t="shared" si="11"/>
        <v>0</v>
      </c>
    </row>
    <row r="49" spans="1:27" s="379" customFormat="1" ht="30" hidden="1" x14ac:dyDescent="0.25">
      <c r="A49" s="739"/>
      <c r="B49" s="91"/>
      <c r="C49" s="30" t="str">
        <f>'Tiên lượng'!C18</f>
        <v>AD.11212.VD</v>
      </c>
      <c r="D49" s="30"/>
      <c r="E49" s="538" t="str">
        <f>'Tiên lượng'!D18</f>
        <v>Bù vênh mặt đường bằng Đá dăm cấp phối loại II (Subbase)</v>
      </c>
      <c r="F49" s="91" t="str">
        <f>'Tiên lượng'!E18</f>
        <v>100m3</v>
      </c>
      <c r="G49" s="573">
        <f>'Tiên lượng'!M18</f>
        <v>0.5</v>
      </c>
      <c r="H49" s="573">
        <f>PTVT!G50</f>
        <v>0.5</v>
      </c>
      <c r="I49" s="573">
        <f>'Tiên lượng'!X18</f>
        <v>1</v>
      </c>
      <c r="J49" s="573">
        <f t="shared" si="1"/>
        <v>0.25</v>
      </c>
      <c r="K49" s="229">
        <f>PTVT!J50</f>
        <v>5412.9740000000002</v>
      </c>
      <c r="L49" s="229">
        <f t="shared" si="2"/>
        <v>1353.2435</v>
      </c>
      <c r="M49" s="229">
        <f>PTVT!L50</f>
        <v>5412.9740000000002</v>
      </c>
      <c r="N49" s="229">
        <f t="shared" si="3"/>
        <v>1353.2435</v>
      </c>
      <c r="O49" s="229">
        <f t="shared" si="4"/>
        <v>0</v>
      </c>
      <c r="P49" s="229">
        <f t="shared" si="5"/>
        <v>0</v>
      </c>
      <c r="Q49" s="229">
        <v>1</v>
      </c>
      <c r="R49" s="229">
        <f t="shared" si="6"/>
        <v>5412.9740000000002</v>
      </c>
      <c r="S49" s="229">
        <f t="shared" si="7"/>
        <v>1353.2435</v>
      </c>
      <c r="T49" s="229"/>
      <c r="U49" s="229"/>
      <c r="V49" s="229">
        <v>0</v>
      </c>
      <c r="W49" s="229">
        <f t="shared" si="8"/>
        <v>0</v>
      </c>
      <c r="X49" s="229">
        <f>PTVT!P50</f>
        <v>5412.9740000000002</v>
      </c>
      <c r="Y49" s="229">
        <f t="shared" si="9"/>
        <v>1353.2435</v>
      </c>
      <c r="Z49" s="229">
        <f t="shared" si="10"/>
        <v>0</v>
      </c>
      <c r="AA49" s="229">
        <f t="shared" si="11"/>
        <v>0</v>
      </c>
    </row>
    <row r="50" spans="1:27" x14ac:dyDescent="0.25">
      <c r="A50" s="341"/>
      <c r="B50" s="217"/>
      <c r="C50" s="157"/>
      <c r="D50" s="157"/>
      <c r="E50" s="667" t="s">
        <v>911</v>
      </c>
      <c r="F50" s="217"/>
      <c r="G50" s="150"/>
      <c r="H50" s="150"/>
      <c r="I50" s="150"/>
      <c r="J50" s="150"/>
      <c r="K50" s="727"/>
      <c r="L50" s="727">
        <f>SUMIF(A6:A49,"VT",L6:L49)</f>
        <v>79646596.130557597</v>
      </c>
      <c r="M50" s="727"/>
      <c r="N50" s="727">
        <f>SUMIF(A6:A49,"VT",N6:N49)</f>
        <v>79646596.130557597</v>
      </c>
      <c r="O50" s="727"/>
      <c r="P50" s="727">
        <f>SUMIF(A6:A49,"VT",P6:P49)</f>
        <v>0</v>
      </c>
      <c r="Q50" s="727"/>
      <c r="R50" s="727"/>
      <c r="S50" s="727">
        <f>SUMIF(A6:A49,"VT",S6:S49)</f>
        <v>79646596.130557597</v>
      </c>
      <c r="T50" s="727"/>
      <c r="U50" s="727">
        <f>SUMIF(A6:A49,"VT",U6:U49)</f>
        <v>0</v>
      </c>
      <c r="V50" s="727"/>
      <c r="W50" s="727">
        <f>SUMIF(A6:A49,"VT",W6:W49)</f>
        <v>0</v>
      </c>
      <c r="X50" s="727"/>
      <c r="Y50" s="727">
        <f>SUMIF(A6:A49,"VT",Y6:Y49)</f>
        <v>79646596.130557597</v>
      </c>
      <c r="Z50" s="727"/>
      <c r="AA50" s="727">
        <f>SUMIF(A6:A49,"VT",AA6:AA49)</f>
        <v>0</v>
      </c>
    </row>
    <row r="51" spans="1:27" x14ac:dyDescent="0.25">
      <c r="A51" s="702"/>
      <c r="B51" s="409"/>
      <c r="C51" s="409"/>
      <c r="D51" s="409"/>
      <c r="E51" s="409"/>
      <c r="F51" s="409"/>
      <c r="G51" s="409"/>
      <c r="H51" s="409"/>
      <c r="I51" s="409"/>
      <c r="J51" s="409"/>
      <c r="K51" s="409"/>
      <c r="L51" s="409"/>
      <c r="M51" s="409"/>
      <c r="N51" s="409"/>
      <c r="O51" s="409"/>
      <c r="P51" s="409"/>
      <c r="Q51" s="409"/>
      <c r="R51" s="409"/>
      <c r="S51" s="409"/>
      <c r="T51" s="409"/>
      <c r="U51" s="409"/>
      <c r="V51" s="409"/>
      <c r="W51" s="409"/>
      <c r="X51" s="409"/>
      <c r="Y51" s="409"/>
      <c r="Z51" s="409"/>
      <c r="AA51" s="409"/>
    </row>
    <row r="52" spans="1:27" x14ac:dyDescent="0.25">
      <c r="B52" s="874"/>
      <c r="C52" s="874"/>
      <c r="D52" s="874"/>
      <c r="E52" s="874"/>
      <c r="F52" s="874"/>
      <c r="G52" s="874"/>
      <c r="H52" s="874"/>
      <c r="I52" s="874"/>
      <c r="J52" s="874"/>
      <c r="K52" s="874"/>
      <c r="L52" s="874"/>
      <c r="M52" s="874"/>
      <c r="N52" s="874"/>
      <c r="O52" s="874"/>
      <c r="P52" s="874"/>
      <c r="Q52" s="874"/>
      <c r="R52" s="874"/>
      <c r="S52" s="874"/>
      <c r="T52" s="874"/>
      <c r="U52" s="874"/>
      <c r="V52" s="874"/>
      <c r="W52" s="874"/>
      <c r="X52" s="874"/>
      <c r="Y52" s="874"/>
      <c r="Z52" s="874"/>
      <c r="AA52" s="874"/>
    </row>
    <row r="53" spans="1:27" x14ac:dyDescent="0.25">
      <c r="B53" s="874"/>
      <c r="C53" s="874"/>
      <c r="D53" s="874"/>
      <c r="E53" s="874"/>
      <c r="F53" s="874"/>
      <c r="G53" s="874"/>
      <c r="H53" s="874"/>
      <c r="I53" s="874"/>
      <c r="J53" s="874"/>
      <c r="K53" s="874"/>
      <c r="L53" s="874"/>
      <c r="M53" s="874"/>
      <c r="N53" s="874"/>
      <c r="O53" s="874"/>
      <c r="P53" s="874"/>
      <c r="Q53" s="874"/>
      <c r="R53" s="874"/>
      <c r="S53" s="874"/>
      <c r="T53" s="874"/>
      <c r="U53" s="874"/>
      <c r="V53" s="874"/>
      <c r="W53" s="874"/>
      <c r="X53" s="874"/>
      <c r="Y53" s="874"/>
      <c r="Z53" s="874"/>
      <c r="AA53" s="874"/>
    </row>
  </sheetData>
  <mergeCells count="28">
    <mergeCell ref="Z4:Z5"/>
    <mergeCell ref="AA4:AA5"/>
    <mergeCell ref="U4:U5"/>
    <mergeCell ref="V4:V5"/>
    <mergeCell ref="W4:W5"/>
    <mergeCell ref="X4:X5"/>
    <mergeCell ref="Y4:Y5"/>
    <mergeCell ref="P4:P5"/>
    <mergeCell ref="Q4:Q5"/>
    <mergeCell ref="R4:R5"/>
    <mergeCell ref="S4:S5"/>
    <mergeCell ref="T4:T5"/>
    <mergeCell ref="A1:AA1"/>
    <mergeCell ref="A2:AA2"/>
    <mergeCell ref="A3:AA3"/>
    <mergeCell ref="B4:B5"/>
    <mergeCell ref="C4:C5"/>
    <mergeCell ref="E4:E5"/>
    <mergeCell ref="F4:F5"/>
    <mergeCell ref="G4:G5"/>
    <mergeCell ref="H4:H5"/>
    <mergeCell ref="I4:I5"/>
    <mergeCell ref="J4:J5"/>
    <mergeCell ref="K4:K5"/>
    <mergeCell ref="L4:L5"/>
    <mergeCell ref="M4:M5"/>
    <mergeCell ref="N4:N5"/>
    <mergeCell ref="O4:O5"/>
  </mergeCells>
  <pageMargins left="0.75" right="0.56000000000000005" top="0.79" bottom="0.79" header="0.3" footer="0.3"/>
  <pageSetup paperSize="9" orientation="landscape" useFirstPageNumber="1" r:id="rId1"/>
  <headerFooter>
    <oddFooter>&amp;CTrang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45"/>
  </sheetPr>
  <dimension ref="A1:AA4"/>
  <sheetViews>
    <sheetView showZeros="0" topLeftCell="B1" workbookViewId="0">
      <selection activeCell="E13" sqref="E13"/>
    </sheetView>
  </sheetViews>
  <sheetFormatPr defaultColWidth="9.42578125" defaultRowHeight="15" x14ac:dyDescent="0.25"/>
  <cols>
    <col min="1" max="1" width="9.42578125" hidden="1" customWidth="1"/>
    <col min="2" max="2" width="5" bestFit="1" customWidth="1"/>
    <col min="4" max="4" width="30.7109375" customWidth="1"/>
    <col min="5" max="5" width="7.7109375" customWidth="1"/>
    <col min="6" max="6" width="10.140625" customWidth="1"/>
    <col min="7" max="8" width="8.7109375" customWidth="1"/>
    <col min="9" max="9" width="10.140625" customWidth="1"/>
    <col min="10" max="10" width="7.28515625" customWidth="1"/>
    <col min="11" max="11" width="10.140625" customWidth="1"/>
    <col min="12" max="12" width="12.28515625" customWidth="1"/>
    <col min="13" max="13" width="10.7109375" customWidth="1"/>
    <col min="16" max="16" width="6.7109375" bestFit="1" customWidth="1"/>
  </cols>
  <sheetData>
    <row r="1" spans="1:27" x14ac:dyDescent="0.25">
      <c r="A1" s="27"/>
    </row>
    <row r="4" spans="1:27" x14ac:dyDescent="0.25">
      <c r="B4" s="600"/>
      <c r="C4" s="600"/>
      <c r="D4" s="600"/>
      <c r="E4" s="600"/>
      <c r="F4" s="600"/>
      <c r="G4" s="600"/>
      <c r="H4" s="600"/>
      <c r="I4" s="600"/>
      <c r="J4" s="600"/>
      <c r="K4" s="600"/>
      <c r="L4" s="600"/>
      <c r="M4" s="600"/>
      <c r="N4" s="600"/>
      <c r="O4" s="600"/>
      <c r="P4" s="600"/>
      <c r="Q4" s="600"/>
      <c r="R4" s="600"/>
      <c r="S4" s="600"/>
      <c r="T4" s="600"/>
      <c r="U4" s="600"/>
      <c r="V4" s="600"/>
      <c r="W4" s="600"/>
      <c r="X4" s="600"/>
      <c r="Y4" s="600"/>
      <c r="Z4" s="600"/>
      <c r="AA4" s="600"/>
    </row>
  </sheetData>
  <pageMargins left="0.75" right="0.75" top="0.79" bottom="0.79" header="0.3" footer="0.3"/>
  <pageSetup paperSize="9" orientation="landscape" useFirstPageNumber="1" horizontalDpi="65532"/>
  <headerFooter>
    <oddFooter>&amp;CTrang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45"/>
  </sheetPr>
  <dimension ref="A2:AA4"/>
  <sheetViews>
    <sheetView showZeros="0" topLeftCell="B1" workbookViewId="0">
      <selection activeCell="D10" sqref="D10"/>
    </sheetView>
  </sheetViews>
  <sheetFormatPr defaultColWidth="9.140625" defaultRowHeight="15" x14ac:dyDescent="0.25"/>
  <cols>
    <col min="1" max="1" width="9.140625" style="794" hidden="1" customWidth="1"/>
    <col min="2" max="2" width="10.7109375" style="794" customWidth="1"/>
    <col min="3" max="3" width="9.140625" style="794"/>
    <col min="4" max="4" width="45.7109375" style="794" customWidth="1"/>
    <col min="5" max="5" width="9.140625" style="794"/>
    <col min="6" max="6" width="10.85546875" style="794" customWidth="1"/>
    <col min="7" max="7" width="12.42578125" style="794" customWidth="1"/>
    <col min="8" max="8" width="11.7109375" style="794" customWidth="1"/>
    <col min="9" max="9" width="9.140625" style="794"/>
    <col min="10" max="10" width="13.5703125" style="794" customWidth="1"/>
    <col min="11" max="16384" width="9.140625" style="794"/>
  </cols>
  <sheetData>
    <row r="2" spans="2:27" x14ac:dyDescent="0.25">
      <c r="B2" s="874"/>
      <c r="C2" s="874"/>
      <c r="D2" s="874"/>
      <c r="E2" s="874"/>
      <c r="F2" s="874"/>
      <c r="G2" s="874"/>
      <c r="H2" s="874"/>
      <c r="I2" s="874"/>
      <c r="J2" s="874"/>
      <c r="K2" s="874"/>
      <c r="L2" s="874"/>
      <c r="M2" s="874"/>
      <c r="N2" s="874"/>
      <c r="O2" s="874"/>
      <c r="P2" s="874"/>
      <c r="Q2" s="874"/>
      <c r="R2" s="874"/>
      <c r="S2" s="874"/>
      <c r="T2" s="874"/>
      <c r="U2" s="874"/>
      <c r="V2" s="874"/>
      <c r="W2" s="874"/>
      <c r="X2" s="874"/>
      <c r="Y2" s="874"/>
      <c r="Z2" s="874"/>
      <c r="AA2" s="874"/>
    </row>
    <row r="3" spans="2:27" x14ac:dyDescent="0.25">
      <c r="B3" s="874"/>
      <c r="C3" s="874"/>
      <c r="D3" s="874"/>
      <c r="E3" s="874"/>
      <c r="F3" s="874"/>
      <c r="G3" s="874"/>
      <c r="H3" s="874"/>
      <c r="I3" s="874"/>
      <c r="J3" s="874"/>
      <c r="K3" s="874"/>
      <c r="L3" s="874"/>
      <c r="M3" s="874"/>
      <c r="N3" s="874"/>
      <c r="O3" s="874"/>
      <c r="P3" s="874"/>
      <c r="Q3" s="874"/>
      <c r="R3" s="874"/>
      <c r="S3" s="874"/>
      <c r="T3" s="874"/>
      <c r="U3" s="874"/>
      <c r="V3" s="874"/>
      <c r="W3" s="874"/>
      <c r="X3" s="874"/>
      <c r="Y3" s="874"/>
      <c r="Z3" s="874"/>
      <c r="AA3" s="874"/>
    </row>
    <row r="4" spans="2:27" x14ac:dyDescent="0.25">
      <c r="B4" s="874"/>
      <c r="C4" s="874"/>
      <c r="D4" s="874"/>
      <c r="E4" s="874"/>
      <c r="F4" s="874"/>
      <c r="G4" s="874"/>
      <c r="H4" s="874"/>
      <c r="I4" s="874"/>
      <c r="J4" s="874"/>
      <c r="K4" s="874"/>
      <c r="L4" s="874"/>
      <c r="M4" s="874"/>
      <c r="N4" s="874"/>
      <c r="O4" s="874"/>
      <c r="P4" s="874"/>
      <c r="Q4" s="874"/>
      <c r="R4" s="874"/>
      <c r="S4" s="874"/>
      <c r="T4" s="874"/>
      <c r="U4" s="874"/>
      <c r="V4" s="874"/>
      <c r="W4" s="874"/>
      <c r="X4" s="874"/>
      <c r="Y4" s="874"/>
      <c r="Z4" s="874"/>
      <c r="AA4" s="874"/>
    </row>
  </sheetData>
  <pageMargins left="1.18" right="0.59" top="0.79" bottom="0.79" header="0.3" footer="0.3"/>
  <pageSetup orientation="landscape" horizontalDpi="6553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45"/>
  </sheetPr>
  <dimension ref="A1:AA4"/>
  <sheetViews>
    <sheetView showZeros="0" topLeftCell="B1" workbookViewId="0">
      <selection activeCell="F12" sqref="F12"/>
    </sheetView>
  </sheetViews>
  <sheetFormatPr defaultColWidth="9.42578125" defaultRowHeight="15" x14ac:dyDescent="0.25"/>
  <cols>
    <col min="1" max="1" width="9.42578125" hidden="1" customWidth="1"/>
    <col min="4" max="15" width="9.5703125" customWidth="1"/>
  </cols>
  <sheetData>
    <row r="1" spans="1:27" x14ac:dyDescent="0.25">
      <c r="A1" s="27"/>
    </row>
    <row r="2" spans="1:27" x14ac:dyDescent="0.25">
      <c r="B2" s="600"/>
      <c r="C2" s="600"/>
      <c r="D2" s="600"/>
      <c r="E2" s="600"/>
      <c r="F2" s="600"/>
      <c r="G2" s="600"/>
      <c r="H2" s="600"/>
      <c r="I2" s="600"/>
      <c r="J2" s="600"/>
      <c r="K2" s="600"/>
      <c r="L2" s="600"/>
      <c r="M2" s="600"/>
      <c r="N2" s="600"/>
      <c r="O2" s="600"/>
      <c r="P2" s="600"/>
      <c r="Q2" s="600"/>
      <c r="R2" s="600"/>
      <c r="S2" s="600"/>
      <c r="T2" s="600"/>
      <c r="U2" s="600"/>
      <c r="V2" s="600"/>
      <c r="W2" s="600"/>
      <c r="X2" s="600"/>
      <c r="Y2" s="600"/>
      <c r="Z2" s="600"/>
      <c r="AA2" s="600"/>
    </row>
    <row r="3" spans="1:27" x14ac:dyDescent="0.25">
      <c r="B3" s="600"/>
      <c r="C3" s="600"/>
      <c r="D3" s="600"/>
      <c r="E3" s="600"/>
      <c r="F3" s="600"/>
      <c r="G3" s="600"/>
      <c r="H3" s="600"/>
      <c r="I3" s="600"/>
      <c r="J3" s="600"/>
      <c r="K3" s="600"/>
      <c r="L3" s="600"/>
      <c r="M3" s="600"/>
      <c r="N3" s="600"/>
      <c r="O3" s="600"/>
      <c r="P3" s="600"/>
      <c r="Q3" s="600"/>
      <c r="R3" s="600"/>
      <c r="S3" s="600"/>
      <c r="T3" s="600"/>
      <c r="U3" s="600"/>
      <c r="V3" s="600"/>
      <c r="W3" s="600"/>
      <c r="X3" s="600"/>
      <c r="Y3" s="600"/>
      <c r="Z3" s="600"/>
      <c r="AA3" s="600"/>
    </row>
    <row r="4" spans="1:27" x14ac:dyDescent="0.25">
      <c r="B4" s="600"/>
      <c r="C4" s="600"/>
      <c r="D4" s="600"/>
      <c r="E4" s="600"/>
      <c r="F4" s="600"/>
      <c r="G4" s="600"/>
      <c r="H4" s="600"/>
      <c r="I4" s="600"/>
      <c r="J4" s="600"/>
      <c r="K4" s="600"/>
      <c r="L4" s="600"/>
      <c r="M4" s="600"/>
      <c r="N4" s="600"/>
      <c r="O4" s="600"/>
      <c r="P4" s="600"/>
      <c r="Q4" s="600"/>
      <c r="R4" s="600"/>
      <c r="S4" s="600"/>
      <c r="T4" s="600"/>
      <c r="U4" s="600"/>
      <c r="V4" s="600"/>
      <c r="W4" s="600"/>
      <c r="X4" s="600"/>
      <c r="Y4" s="600"/>
      <c r="Z4" s="600"/>
      <c r="AA4" s="600"/>
    </row>
  </sheetData>
  <pageMargins left="0.75" right="0.75" top="0.79" bottom="0.79" header="0.3" footer="0.3"/>
  <pageSetup paperSize="9" orientation="landscape" useFirstPageNumber="1" horizontalDpi="65532"/>
  <headerFooter>
    <oddFooter>&amp;CTrang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45"/>
  </sheetPr>
  <dimension ref="A1:AA112"/>
  <sheetViews>
    <sheetView showZeros="0" topLeftCell="B1" workbookViewId="0">
      <selection activeCell="F12" sqref="F12"/>
    </sheetView>
  </sheetViews>
  <sheetFormatPr defaultColWidth="9.42578125" defaultRowHeight="15" x14ac:dyDescent="0.25"/>
  <cols>
    <col min="1" max="1" width="9.42578125" hidden="1" customWidth="1"/>
    <col min="2" max="2" width="4.7109375" bestFit="1" customWidth="1"/>
    <col min="3" max="3" width="8.28515625" bestFit="1" customWidth="1"/>
    <col min="4" max="4" width="32.28515625" customWidth="1"/>
    <col min="5" max="5" width="6.85546875" customWidth="1"/>
    <col min="6" max="6" width="8" customWidth="1"/>
    <col min="7" max="7" width="9.5703125" customWidth="1"/>
    <col min="8" max="8" width="7" customWidth="1"/>
    <col min="9" max="9" width="9" customWidth="1"/>
    <col min="10" max="10" width="8" customWidth="1"/>
    <col min="11" max="11" width="10.5703125" customWidth="1"/>
    <col min="12" max="12" width="8" customWidth="1"/>
    <col min="13" max="13" width="11.5703125" customWidth="1"/>
    <col min="14" max="14" width="10.5703125" customWidth="1"/>
    <col min="15" max="15" width="11.5703125" customWidth="1"/>
  </cols>
  <sheetData>
    <row r="1" spans="1:27" ht="18.75" x14ac:dyDescent="0.3">
      <c r="A1" s="1101" t="s">
        <v>1206</v>
      </c>
      <c r="B1" s="1101"/>
      <c r="C1" s="1101"/>
      <c r="D1" s="1101"/>
      <c r="E1" s="1101"/>
      <c r="F1" s="1101"/>
      <c r="G1" s="1101"/>
      <c r="H1" s="1101"/>
      <c r="I1" s="1101"/>
      <c r="J1" s="1101"/>
      <c r="K1" s="1101"/>
      <c r="L1" s="1101"/>
      <c r="M1" s="1101"/>
      <c r="N1" s="1101"/>
      <c r="O1" s="1101"/>
    </row>
    <row r="2" spans="1:27" ht="15.75" x14ac:dyDescent="0.25">
      <c r="A2" s="1133" t="s">
        <v>197</v>
      </c>
      <c r="B2" s="1133"/>
      <c r="C2" s="1133"/>
      <c r="D2" s="1133"/>
      <c r="E2" s="1133"/>
      <c r="F2" s="1133"/>
      <c r="G2" s="1133"/>
      <c r="H2" s="1133"/>
      <c r="I2" s="1133"/>
      <c r="J2" s="1133"/>
      <c r="K2" s="1133"/>
      <c r="L2" s="1133"/>
      <c r="M2" s="1133"/>
      <c r="N2" s="1133"/>
      <c r="O2" s="1133"/>
    </row>
    <row r="3" spans="1:27" ht="15.75" x14ac:dyDescent="0.25">
      <c r="A3" s="1133" t="s">
        <v>1409</v>
      </c>
      <c r="B3" s="1133"/>
      <c r="C3" s="1133"/>
      <c r="D3" s="1133"/>
      <c r="E3" s="1133"/>
      <c r="F3" s="1133"/>
      <c r="G3" s="1133"/>
      <c r="H3" s="1133"/>
      <c r="I3" s="1133"/>
      <c r="J3" s="1133"/>
      <c r="K3" s="1133"/>
      <c r="L3" s="1133"/>
      <c r="M3" s="1133"/>
      <c r="N3" s="1133"/>
      <c r="O3" s="1133"/>
    </row>
    <row r="4" spans="1:27" ht="15.75" x14ac:dyDescent="0.25">
      <c r="A4" s="1133">
        <v>0</v>
      </c>
      <c r="B4" s="1134"/>
      <c r="C4" s="1134"/>
      <c r="D4" s="1134"/>
      <c r="E4" s="1134"/>
      <c r="F4" s="1134"/>
      <c r="G4" s="1134"/>
      <c r="H4" s="1134"/>
      <c r="I4" s="1134"/>
      <c r="J4" s="1134"/>
      <c r="K4" s="1134"/>
      <c r="L4" s="1134"/>
      <c r="M4" s="1134"/>
      <c r="N4" s="1134"/>
      <c r="O4" s="1134"/>
      <c r="P4" s="600"/>
      <c r="Q4" s="600"/>
      <c r="R4" s="600"/>
      <c r="S4" s="600"/>
      <c r="T4" s="600"/>
      <c r="U4" s="600"/>
      <c r="V4" s="600"/>
      <c r="W4" s="600"/>
      <c r="X4" s="600"/>
      <c r="Y4" s="600"/>
      <c r="Z4" s="600"/>
      <c r="AA4" s="600"/>
    </row>
    <row r="5" spans="1:27" ht="19.899999999999999" customHeight="1" x14ac:dyDescent="0.25">
      <c r="A5" s="401" t="s">
        <v>1220</v>
      </c>
      <c r="B5" s="401" t="s">
        <v>1323</v>
      </c>
      <c r="C5" s="401" t="s">
        <v>876</v>
      </c>
      <c r="D5" s="401" t="s">
        <v>342</v>
      </c>
      <c r="E5" s="401" t="s">
        <v>1448</v>
      </c>
      <c r="F5" s="401" t="s">
        <v>296</v>
      </c>
      <c r="G5" s="401" t="s">
        <v>1079</v>
      </c>
      <c r="H5" s="401" t="s">
        <v>860</v>
      </c>
      <c r="I5" s="401" t="s">
        <v>1091</v>
      </c>
      <c r="J5" s="401" t="s">
        <v>1446</v>
      </c>
      <c r="K5" s="401" t="s">
        <v>898</v>
      </c>
      <c r="L5" s="401" t="s">
        <v>1192</v>
      </c>
      <c r="M5" s="401" t="s">
        <v>898</v>
      </c>
      <c r="N5" s="401" t="s">
        <v>452</v>
      </c>
      <c r="O5" s="401" t="s">
        <v>898</v>
      </c>
      <c r="P5" s="600"/>
      <c r="Q5" s="600"/>
      <c r="R5" s="600"/>
      <c r="S5" s="600"/>
      <c r="T5" s="600"/>
      <c r="U5" s="600"/>
      <c r="V5" s="600"/>
      <c r="W5" s="600"/>
      <c r="X5" s="600"/>
      <c r="Y5" s="600"/>
      <c r="Z5" s="600"/>
      <c r="AA5" s="600"/>
    </row>
    <row r="6" spans="1:27" x14ac:dyDescent="0.25">
      <c r="A6" s="472"/>
      <c r="B6" s="491">
        <v>1</v>
      </c>
      <c r="C6" s="472" t="s">
        <v>485</v>
      </c>
      <c r="D6" s="472" t="s">
        <v>744</v>
      </c>
      <c r="E6" s="491" t="s">
        <v>239</v>
      </c>
      <c r="F6" s="555"/>
      <c r="G6" s="555"/>
      <c r="H6" s="555">
        <v>1</v>
      </c>
      <c r="I6" s="555">
        <f>SUM(I7:I30)</f>
        <v>460.71000000000004</v>
      </c>
      <c r="J6" s="98">
        <v>0</v>
      </c>
      <c r="K6" s="98">
        <f>I6*J6</f>
        <v>0</v>
      </c>
      <c r="L6" s="98">
        <v>242336</v>
      </c>
      <c r="M6" s="98">
        <f>I6*L6</f>
        <v>111646618.56</v>
      </c>
      <c r="N6" s="98">
        <f>L6-J6</f>
        <v>242336</v>
      </c>
      <c r="O6" s="98">
        <f>I6*N6</f>
        <v>111646618.56</v>
      </c>
      <c r="P6" s="600"/>
      <c r="Q6" s="600"/>
      <c r="R6" s="600"/>
      <c r="S6" s="600"/>
      <c r="T6" s="600"/>
      <c r="U6" s="600"/>
      <c r="V6" s="600"/>
      <c r="W6" s="600"/>
      <c r="X6" s="600"/>
      <c r="Y6" s="600"/>
      <c r="Z6" s="600"/>
      <c r="AA6" s="600"/>
    </row>
    <row r="7" spans="1:27" x14ac:dyDescent="0.25">
      <c r="A7" s="476"/>
      <c r="B7" s="497"/>
      <c r="C7" s="476" t="s">
        <v>369</v>
      </c>
      <c r="D7" s="476" t="s">
        <v>356</v>
      </c>
      <c r="E7" s="497" t="s">
        <v>1272</v>
      </c>
      <c r="F7" s="568">
        <v>7.9618000000000002</v>
      </c>
      <c r="G7" s="568">
        <v>1</v>
      </c>
      <c r="H7" s="568"/>
      <c r="I7" s="568">
        <f>F7*G7*H6</f>
        <v>7.9618000000000002</v>
      </c>
      <c r="J7" s="104"/>
      <c r="K7" s="104"/>
      <c r="L7" s="104"/>
      <c r="M7" s="104"/>
      <c r="N7" s="104"/>
      <c r="O7" s="104"/>
      <c r="P7" s="600"/>
      <c r="Q7" s="600"/>
      <c r="R7" s="600"/>
      <c r="S7" s="600"/>
      <c r="T7" s="600"/>
      <c r="U7" s="600"/>
      <c r="V7" s="600"/>
      <c r="W7" s="600"/>
      <c r="X7" s="600"/>
      <c r="Y7" s="600"/>
      <c r="Z7" s="600"/>
      <c r="AA7" s="600"/>
    </row>
    <row r="8" spans="1:27" x14ac:dyDescent="0.25">
      <c r="A8" s="476"/>
      <c r="B8" s="497"/>
      <c r="C8" s="476" t="s">
        <v>1395</v>
      </c>
      <c r="D8" s="476" t="s">
        <v>838</v>
      </c>
      <c r="E8" s="497" t="s">
        <v>1272</v>
      </c>
      <c r="F8" s="568">
        <v>33.0991</v>
      </c>
      <c r="G8" s="568">
        <v>1</v>
      </c>
      <c r="H8" s="568"/>
      <c r="I8" s="568">
        <f>F8*G8*H6</f>
        <v>33.0991</v>
      </c>
      <c r="J8" s="104"/>
      <c r="K8" s="104"/>
      <c r="L8" s="104"/>
      <c r="M8" s="104"/>
      <c r="N8" s="104"/>
      <c r="O8" s="104"/>
      <c r="P8" s="600"/>
      <c r="Q8" s="600"/>
      <c r="R8" s="600"/>
      <c r="S8" s="600"/>
      <c r="T8" s="600"/>
      <c r="U8" s="600"/>
      <c r="V8" s="600"/>
      <c r="W8" s="600"/>
      <c r="X8" s="600"/>
      <c r="Y8" s="600"/>
      <c r="Z8" s="600"/>
      <c r="AA8" s="600"/>
    </row>
    <row r="9" spans="1:27" x14ac:dyDescent="0.25">
      <c r="A9" s="476"/>
      <c r="B9" s="497"/>
      <c r="C9" s="476" t="s">
        <v>928</v>
      </c>
      <c r="D9" s="476" t="s">
        <v>195</v>
      </c>
      <c r="E9" s="497" t="s">
        <v>1272</v>
      </c>
      <c r="F9" s="568">
        <v>5.6870000000000003</v>
      </c>
      <c r="G9" s="568">
        <v>1</v>
      </c>
      <c r="H9" s="568"/>
      <c r="I9" s="568">
        <f>F9*G9*H6</f>
        <v>5.6870000000000003</v>
      </c>
      <c r="J9" s="104"/>
      <c r="K9" s="104"/>
      <c r="L9" s="104"/>
      <c r="M9" s="104"/>
      <c r="N9" s="104"/>
      <c r="O9" s="104"/>
      <c r="P9" s="600"/>
      <c r="Q9" s="600"/>
      <c r="R9" s="600"/>
      <c r="S9" s="600"/>
      <c r="T9" s="600"/>
      <c r="U9" s="600"/>
      <c r="V9" s="600"/>
      <c r="W9" s="600"/>
      <c r="X9" s="600"/>
      <c r="Y9" s="600"/>
      <c r="Z9" s="600"/>
      <c r="AA9" s="600"/>
    </row>
    <row r="10" spans="1:27" x14ac:dyDescent="0.25">
      <c r="A10" s="476"/>
      <c r="B10" s="497"/>
      <c r="C10" s="476" t="s">
        <v>1341</v>
      </c>
      <c r="D10" s="476" t="s">
        <v>571</v>
      </c>
      <c r="E10" s="497" t="s">
        <v>1272</v>
      </c>
      <c r="F10" s="568">
        <v>33.0991</v>
      </c>
      <c r="G10" s="568">
        <v>1</v>
      </c>
      <c r="H10" s="568"/>
      <c r="I10" s="568">
        <f>F10*G10*H6</f>
        <v>33.0991</v>
      </c>
      <c r="J10" s="104"/>
      <c r="K10" s="104"/>
      <c r="L10" s="104"/>
      <c r="M10" s="104"/>
      <c r="N10" s="104"/>
      <c r="O10" s="104"/>
      <c r="P10" s="600"/>
      <c r="Q10" s="600"/>
      <c r="R10" s="600"/>
      <c r="S10" s="600"/>
      <c r="T10" s="600"/>
      <c r="U10" s="600"/>
      <c r="V10" s="600"/>
      <c r="W10" s="600"/>
      <c r="X10" s="600"/>
      <c r="Y10" s="600"/>
      <c r="Z10" s="600"/>
      <c r="AA10" s="600"/>
    </row>
    <row r="11" spans="1:27" x14ac:dyDescent="0.25">
      <c r="A11" s="476"/>
      <c r="B11" s="497"/>
      <c r="C11" s="476" t="s">
        <v>1247</v>
      </c>
      <c r="D11" s="476" t="s">
        <v>608</v>
      </c>
      <c r="E11" s="497" t="s">
        <v>1272</v>
      </c>
      <c r="F11" s="568">
        <v>0</v>
      </c>
      <c r="G11" s="568">
        <v>1</v>
      </c>
      <c r="H11" s="568"/>
      <c r="I11" s="568">
        <f>F11*G11*H6</f>
        <v>0</v>
      </c>
      <c r="J11" s="104"/>
      <c r="K11" s="104"/>
      <c r="L11" s="104"/>
      <c r="M11" s="104"/>
      <c r="N11" s="104"/>
      <c r="O11" s="104"/>
      <c r="P11" s="600"/>
      <c r="Q11" s="600"/>
      <c r="R11" s="600"/>
      <c r="S11" s="600"/>
      <c r="T11" s="600"/>
      <c r="U11" s="600"/>
      <c r="V11" s="600"/>
      <c r="W11" s="600"/>
      <c r="X11" s="600"/>
      <c r="Y11" s="600"/>
      <c r="Z11" s="600"/>
      <c r="AA11" s="600"/>
    </row>
    <row r="12" spans="1:27" x14ac:dyDescent="0.25">
      <c r="A12" s="476"/>
      <c r="B12" s="497"/>
      <c r="C12" s="476" t="s">
        <v>698</v>
      </c>
      <c r="D12" s="476" t="s">
        <v>606</v>
      </c>
      <c r="E12" s="497" t="s">
        <v>1272</v>
      </c>
      <c r="F12" s="568">
        <v>35.330500000000001</v>
      </c>
      <c r="G12" s="568">
        <v>1</v>
      </c>
      <c r="H12" s="568"/>
      <c r="I12" s="568">
        <f>F12*G12*H6</f>
        <v>35.330500000000001</v>
      </c>
      <c r="J12" s="104"/>
      <c r="K12" s="104"/>
      <c r="L12" s="104"/>
      <c r="M12" s="104"/>
      <c r="N12" s="104"/>
      <c r="O12" s="104"/>
      <c r="P12" s="600"/>
      <c r="Q12" s="600"/>
      <c r="R12" s="600"/>
      <c r="S12" s="600"/>
      <c r="T12" s="600"/>
      <c r="U12" s="600"/>
      <c r="V12" s="600"/>
      <c r="W12" s="600"/>
      <c r="X12" s="600"/>
      <c r="Y12" s="600"/>
      <c r="Z12" s="600"/>
      <c r="AA12" s="600"/>
    </row>
    <row r="13" spans="1:27" x14ac:dyDescent="0.25">
      <c r="A13" s="476"/>
      <c r="B13" s="497"/>
      <c r="C13" s="476" t="s">
        <v>369</v>
      </c>
      <c r="D13" s="476" t="s">
        <v>356</v>
      </c>
      <c r="E13" s="497" t="s">
        <v>1272</v>
      </c>
      <c r="F13" s="568">
        <v>7.9618000000000002</v>
      </c>
      <c r="G13" s="568">
        <v>1</v>
      </c>
      <c r="H13" s="568"/>
      <c r="I13" s="568">
        <f>F13*G13*H6</f>
        <v>7.9618000000000002</v>
      </c>
      <c r="J13" s="104"/>
      <c r="K13" s="104"/>
      <c r="L13" s="104"/>
      <c r="M13" s="104"/>
      <c r="N13" s="104"/>
      <c r="O13" s="104"/>
      <c r="P13" s="600"/>
      <c r="Q13" s="600"/>
      <c r="R13" s="600"/>
      <c r="S13" s="600"/>
      <c r="T13" s="600"/>
      <c r="U13" s="600"/>
      <c r="V13" s="600"/>
      <c r="W13" s="600"/>
      <c r="X13" s="600"/>
      <c r="Y13" s="600"/>
      <c r="Z13" s="600"/>
      <c r="AA13" s="600"/>
    </row>
    <row r="14" spans="1:27" x14ac:dyDescent="0.25">
      <c r="A14" s="476"/>
      <c r="B14" s="497"/>
      <c r="C14" s="476" t="s">
        <v>1395</v>
      </c>
      <c r="D14" s="476" t="s">
        <v>838</v>
      </c>
      <c r="E14" s="497" t="s">
        <v>1272</v>
      </c>
      <c r="F14" s="568">
        <v>33.0991</v>
      </c>
      <c r="G14" s="568">
        <v>1</v>
      </c>
      <c r="H14" s="568"/>
      <c r="I14" s="568">
        <f>F14*G14*H6</f>
        <v>33.0991</v>
      </c>
      <c r="J14" s="104"/>
      <c r="K14" s="104"/>
      <c r="L14" s="104"/>
      <c r="M14" s="104"/>
      <c r="N14" s="104"/>
      <c r="O14" s="104"/>
      <c r="P14" s="600"/>
      <c r="Q14" s="600"/>
      <c r="R14" s="600"/>
      <c r="S14" s="600"/>
      <c r="T14" s="600"/>
      <c r="U14" s="600"/>
      <c r="V14" s="600"/>
      <c r="W14" s="600"/>
      <c r="X14" s="600"/>
      <c r="Y14" s="600"/>
      <c r="Z14" s="600"/>
      <c r="AA14" s="600"/>
    </row>
    <row r="15" spans="1:27" x14ac:dyDescent="0.25">
      <c r="A15" s="476"/>
      <c r="B15" s="497"/>
      <c r="C15" s="476" t="s">
        <v>928</v>
      </c>
      <c r="D15" s="476" t="s">
        <v>195</v>
      </c>
      <c r="E15" s="497" t="s">
        <v>1272</v>
      </c>
      <c r="F15" s="568">
        <v>5.6870000000000003</v>
      </c>
      <c r="G15" s="568">
        <v>1</v>
      </c>
      <c r="H15" s="568"/>
      <c r="I15" s="568">
        <f>F15*G15*H6</f>
        <v>5.6870000000000003</v>
      </c>
      <c r="J15" s="104"/>
      <c r="K15" s="104"/>
      <c r="L15" s="104"/>
      <c r="M15" s="104"/>
      <c r="N15" s="104"/>
      <c r="O15" s="104"/>
      <c r="P15" s="600"/>
      <c r="Q15" s="600"/>
      <c r="R15" s="600"/>
      <c r="S15" s="600"/>
      <c r="T15" s="600"/>
      <c r="U15" s="600"/>
      <c r="V15" s="600"/>
      <c r="W15" s="600"/>
      <c r="X15" s="600"/>
      <c r="Y15" s="600"/>
      <c r="Z15" s="600"/>
      <c r="AA15" s="600"/>
    </row>
    <row r="16" spans="1:27" x14ac:dyDescent="0.25">
      <c r="A16" s="476"/>
      <c r="B16" s="497"/>
      <c r="C16" s="476" t="s">
        <v>1341</v>
      </c>
      <c r="D16" s="476" t="s">
        <v>571</v>
      </c>
      <c r="E16" s="497" t="s">
        <v>1272</v>
      </c>
      <c r="F16" s="568">
        <v>33.0991</v>
      </c>
      <c r="G16" s="568">
        <v>1</v>
      </c>
      <c r="H16" s="568"/>
      <c r="I16" s="568">
        <f>F16*G16*H6</f>
        <v>33.0991</v>
      </c>
      <c r="J16" s="104"/>
      <c r="K16" s="104"/>
      <c r="L16" s="104"/>
      <c r="M16" s="104"/>
      <c r="N16" s="104"/>
      <c r="O16" s="104"/>
      <c r="P16" s="600"/>
      <c r="Q16" s="600"/>
      <c r="R16" s="600"/>
      <c r="S16" s="600"/>
      <c r="T16" s="600"/>
      <c r="U16" s="600"/>
      <c r="V16" s="600"/>
      <c r="W16" s="600"/>
      <c r="X16" s="600"/>
      <c r="Y16" s="600"/>
      <c r="Z16" s="600"/>
      <c r="AA16" s="600"/>
    </row>
    <row r="17" spans="1:27" x14ac:dyDescent="0.25">
      <c r="A17" s="476"/>
      <c r="B17" s="497"/>
      <c r="C17" s="476" t="s">
        <v>1247</v>
      </c>
      <c r="D17" s="476" t="s">
        <v>608</v>
      </c>
      <c r="E17" s="497" t="s">
        <v>1272</v>
      </c>
      <c r="F17" s="568">
        <v>0</v>
      </c>
      <c r="G17" s="568">
        <v>1</v>
      </c>
      <c r="H17" s="568"/>
      <c r="I17" s="568">
        <f>F17*G17*H6</f>
        <v>0</v>
      </c>
      <c r="J17" s="104"/>
      <c r="K17" s="104"/>
      <c r="L17" s="104"/>
      <c r="M17" s="104"/>
      <c r="N17" s="104"/>
      <c r="O17" s="104"/>
      <c r="P17" s="600"/>
      <c r="Q17" s="600"/>
      <c r="R17" s="600"/>
      <c r="S17" s="600"/>
      <c r="T17" s="600"/>
      <c r="U17" s="600"/>
      <c r="V17" s="600"/>
      <c r="W17" s="600"/>
      <c r="X17" s="600"/>
      <c r="Y17" s="600"/>
      <c r="Z17" s="600"/>
      <c r="AA17" s="600"/>
    </row>
    <row r="18" spans="1:27" x14ac:dyDescent="0.25">
      <c r="A18" s="476"/>
      <c r="B18" s="497"/>
      <c r="C18" s="476" t="s">
        <v>698</v>
      </c>
      <c r="D18" s="476" t="s">
        <v>606</v>
      </c>
      <c r="E18" s="497" t="s">
        <v>1272</v>
      </c>
      <c r="F18" s="568">
        <v>35.330500000000001</v>
      </c>
      <c r="G18" s="568">
        <v>1</v>
      </c>
      <c r="H18" s="568"/>
      <c r="I18" s="568">
        <f>F18*G18*H6</f>
        <v>35.330500000000001</v>
      </c>
      <c r="J18" s="104"/>
      <c r="K18" s="104"/>
      <c r="L18" s="104"/>
      <c r="M18" s="104"/>
      <c r="N18" s="104"/>
      <c r="O18" s="104"/>
      <c r="P18" s="600"/>
      <c r="Q18" s="600"/>
      <c r="R18" s="600"/>
      <c r="S18" s="600"/>
      <c r="T18" s="600"/>
      <c r="U18" s="600"/>
      <c r="V18" s="600"/>
      <c r="W18" s="600"/>
      <c r="X18" s="600"/>
      <c r="Y18" s="600"/>
      <c r="Z18" s="600"/>
      <c r="AA18" s="600"/>
    </row>
    <row r="19" spans="1:27" x14ac:dyDescent="0.25">
      <c r="A19" s="476"/>
      <c r="B19" s="497"/>
      <c r="C19" s="476" t="s">
        <v>369</v>
      </c>
      <c r="D19" s="476" t="s">
        <v>356</v>
      </c>
      <c r="E19" s="497" t="s">
        <v>1272</v>
      </c>
      <c r="F19" s="568">
        <v>7.9618000000000002</v>
      </c>
      <c r="G19" s="568">
        <v>1</v>
      </c>
      <c r="H19" s="568"/>
      <c r="I19" s="568">
        <f>F19*G19*H6</f>
        <v>7.9618000000000002</v>
      </c>
      <c r="J19" s="104"/>
      <c r="K19" s="104"/>
      <c r="L19" s="104"/>
      <c r="M19" s="104"/>
      <c r="N19" s="104"/>
      <c r="O19" s="104"/>
      <c r="P19" s="600"/>
      <c r="Q19" s="600"/>
      <c r="R19" s="600"/>
      <c r="S19" s="600"/>
      <c r="T19" s="600"/>
      <c r="U19" s="600"/>
      <c r="V19" s="600"/>
      <c r="W19" s="600"/>
      <c r="X19" s="600"/>
      <c r="Y19" s="600"/>
      <c r="Z19" s="600"/>
      <c r="AA19" s="600"/>
    </row>
    <row r="20" spans="1:27" x14ac:dyDescent="0.25">
      <c r="A20" s="476"/>
      <c r="B20" s="497"/>
      <c r="C20" s="476" t="s">
        <v>1395</v>
      </c>
      <c r="D20" s="476" t="s">
        <v>838</v>
      </c>
      <c r="E20" s="497" t="s">
        <v>1272</v>
      </c>
      <c r="F20" s="568">
        <v>33.0991</v>
      </c>
      <c r="G20" s="568">
        <v>1</v>
      </c>
      <c r="H20" s="568"/>
      <c r="I20" s="568">
        <f>F20*G20*H6</f>
        <v>33.0991</v>
      </c>
      <c r="J20" s="104"/>
      <c r="K20" s="104"/>
      <c r="L20" s="104"/>
      <c r="M20" s="104"/>
      <c r="N20" s="104"/>
      <c r="O20" s="104"/>
      <c r="P20" s="600"/>
      <c r="Q20" s="600"/>
      <c r="R20" s="600"/>
      <c r="S20" s="600"/>
      <c r="T20" s="600"/>
      <c r="U20" s="600"/>
      <c r="V20" s="600"/>
      <c r="W20" s="600"/>
      <c r="X20" s="600"/>
      <c r="Y20" s="600"/>
      <c r="Z20" s="600"/>
      <c r="AA20" s="600"/>
    </row>
    <row r="21" spans="1:27" x14ac:dyDescent="0.25">
      <c r="A21" s="476"/>
      <c r="B21" s="497"/>
      <c r="C21" s="476" t="s">
        <v>928</v>
      </c>
      <c r="D21" s="476" t="s">
        <v>195</v>
      </c>
      <c r="E21" s="497" t="s">
        <v>1272</v>
      </c>
      <c r="F21" s="568">
        <v>5.6870000000000003</v>
      </c>
      <c r="G21" s="568">
        <v>1</v>
      </c>
      <c r="H21" s="568"/>
      <c r="I21" s="568">
        <f>F21*G21*H6</f>
        <v>5.6870000000000003</v>
      </c>
      <c r="J21" s="104"/>
      <c r="K21" s="104"/>
      <c r="L21" s="104"/>
      <c r="M21" s="104"/>
      <c r="N21" s="104"/>
      <c r="O21" s="104"/>
      <c r="P21" s="600"/>
      <c r="Q21" s="600"/>
      <c r="R21" s="600"/>
      <c r="S21" s="600"/>
      <c r="T21" s="600"/>
      <c r="U21" s="600"/>
      <c r="V21" s="600"/>
      <c r="W21" s="600"/>
      <c r="X21" s="600"/>
      <c r="Y21" s="600"/>
      <c r="Z21" s="600"/>
      <c r="AA21" s="600"/>
    </row>
    <row r="22" spans="1:27" x14ac:dyDescent="0.25">
      <c r="A22" s="476"/>
      <c r="B22" s="497"/>
      <c r="C22" s="476" t="s">
        <v>1341</v>
      </c>
      <c r="D22" s="476" t="s">
        <v>571</v>
      </c>
      <c r="E22" s="497" t="s">
        <v>1272</v>
      </c>
      <c r="F22" s="568">
        <v>33.0991</v>
      </c>
      <c r="G22" s="568">
        <v>1</v>
      </c>
      <c r="H22" s="568"/>
      <c r="I22" s="568">
        <f>F22*G22*H6</f>
        <v>33.0991</v>
      </c>
      <c r="J22" s="104"/>
      <c r="K22" s="104"/>
      <c r="L22" s="104"/>
      <c r="M22" s="104"/>
      <c r="N22" s="104"/>
      <c r="O22" s="104"/>
      <c r="P22" s="600"/>
      <c r="Q22" s="600"/>
      <c r="R22" s="600"/>
      <c r="S22" s="600"/>
      <c r="T22" s="600"/>
      <c r="U22" s="600"/>
      <c r="V22" s="600"/>
      <c r="W22" s="600"/>
      <c r="X22" s="600"/>
      <c r="Y22" s="600"/>
      <c r="Z22" s="600"/>
      <c r="AA22" s="600"/>
    </row>
    <row r="23" spans="1:27" x14ac:dyDescent="0.25">
      <c r="A23" s="476"/>
      <c r="B23" s="497"/>
      <c r="C23" s="476" t="s">
        <v>1247</v>
      </c>
      <c r="D23" s="476" t="s">
        <v>608</v>
      </c>
      <c r="E23" s="497" t="s">
        <v>1272</v>
      </c>
      <c r="F23" s="568">
        <v>0</v>
      </c>
      <c r="G23" s="568">
        <v>1</v>
      </c>
      <c r="H23" s="568"/>
      <c r="I23" s="568">
        <f>F23*G23*H6</f>
        <v>0</v>
      </c>
      <c r="J23" s="104"/>
      <c r="K23" s="104"/>
      <c r="L23" s="104"/>
      <c r="M23" s="104"/>
      <c r="N23" s="104"/>
      <c r="O23" s="104"/>
      <c r="P23" s="600"/>
      <c r="Q23" s="600"/>
      <c r="R23" s="600"/>
      <c r="S23" s="600"/>
      <c r="T23" s="600"/>
      <c r="U23" s="600"/>
      <c r="V23" s="600"/>
      <c r="W23" s="600"/>
      <c r="X23" s="600"/>
      <c r="Y23" s="600"/>
      <c r="Z23" s="600"/>
      <c r="AA23" s="600"/>
    </row>
    <row r="24" spans="1:27" x14ac:dyDescent="0.25">
      <c r="A24" s="476"/>
      <c r="B24" s="497"/>
      <c r="C24" s="476" t="s">
        <v>698</v>
      </c>
      <c r="D24" s="476" t="s">
        <v>606</v>
      </c>
      <c r="E24" s="497" t="s">
        <v>1272</v>
      </c>
      <c r="F24" s="568">
        <v>35.330500000000001</v>
      </c>
      <c r="G24" s="568">
        <v>1</v>
      </c>
      <c r="H24" s="568"/>
      <c r="I24" s="568">
        <f>F24*G24*H6</f>
        <v>35.330500000000001</v>
      </c>
      <c r="J24" s="104"/>
      <c r="K24" s="104"/>
      <c r="L24" s="104"/>
      <c r="M24" s="104"/>
      <c r="N24" s="104"/>
      <c r="O24" s="104"/>
      <c r="P24" s="600"/>
      <c r="Q24" s="600"/>
      <c r="R24" s="600"/>
      <c r="S24" s="600"/>
      <c r="T24" s="600"/>
      <c r="U24" s="600"/>
      <c r="V24" s="600"/>
      <c r="W24" s="600"/>
      <c r="X24" s="600"/>
      <c r="Y24" s="600"/>
      <c r="Z24" s="600"/>
      <c r="AA24" s="600"/>
    </row>
    <row r="25" spans="1:27" x14ac:dyDescent="0.25">
      <c r="A25" s="476"/>
      <c r="B25" s="497"/>
      <c r="C25" s="476" t="s">
        <v>369</v>
      </c>
      <c r="D25" s="476" t="s">
        <v>356</v>
      </c>
      <c r="E25" s="497" t="s">
        <v>1272</v>
      </c>
      <c r="F25" s="568">
        <v>7.9618000000000002</v>
      </c>
      <c r="G25" s="568">
        <v>1</v>
      </c>
      <c r="H25" s="568"/>
      <c r="I25" s="568">
        <f>F25*G25*H6</f>
        <v>7.9618000000000002</v>
      </c>
      <c r="J25" s="104"/>
      <c r="K25" s="104"/>
      <c r="L25" s="104"/>
      <c r="M25" s="104"/>
      <c r="N25" s="104"/>
      <c r="O25" s="104"/>
      <c r="P25" s="600"/>
      <c r="Q25" s="600"/>
      <c r="R25" s="600"/>
      <c r="S25" s="600"/>
      <c r="T25" s="600"/>
      <c r="U25" s="600"/>
      <c r="V25" s="600"/>
      <c r="W25" s="600"/>
      <c r="X25" s="600"/>
      <c r="Y25" s="600"/>
      <c r="Z25" s="600"/>
      <c r="AA25" s="600"/>
    </row>
    <row r="26" spans="1:27" x14ac:dyDescent="0.25">
      <c r="A26" s="476"/>
      <c r="B26" s="497"/>
      <c r="C26" s="476" t="s">
        <v>1395</v>
      </c>
      <c r="D26" s="476" t="s">
        <v>838</v>
      </c>
      <c r="E26" s="497" t="s">
        <v>1272</v>
      </c>
      <c r="F26" s="568">
        <v>33.0991</v>
      </c>
      <c r="G26" s="568">
        <v>1</v>
      </c>
      <c r="H26" s="568"/>
      <c r="I26" s="568">
        <f>F26*G26*H6</f>
        <v>33.0991</v>
      </c>
      <c r="J26" s="104"/>
      <c r="K26" s="104"/>
      <c r="L26" s="104"/>
      <c r="M26" s="104"/>
      <c r="N26" s="104"/>
      <c r="O26" s="104"/>
      <c r="P26" s="600"/>
      <c r="Q26" s="600"/>
      <c r="R26" s="600"/>
      <c r="S26" s="600"/>
      <c r="T26" s="600"/>
      <c r="U26" s="600"/>
      <c r="V26" s="600"/>
      <c r="W26" s="600"/>
      <c r="X26" s="600"/>
      <c r="Y26" s="600"/>
      <c r="Z26" s="600"/>
      <c r="AA26" s="600"/>
    </row>
    <row r="27" spans="1:27" x14ac:dyDescent="0.25">
      <c r="A27" s="476"/>
      <c r="B27" s="497"/>
      <c r="C27" s="476" t="s">
        <v>928</v>
      </c>
      <c r="D27" s="476" t="s">
        <v>195</v>
      </c>
      <c r="E27" s="497" t="s">
        <v>1272</v>
      </c>
      <c r="F27" s="568">
        <v>5.6870000000000003</v>
      </c>
      <c r="G27" s="568">
        <v>1</v>
      </c>
      <c r="H27" s="568"/>
      <c r="I27" s="568">
        <f>F27*G27*H6</f>
        <v>5.6870000000000003</v>
      </c>
      <c r="J27" s="104"/>
      <c r="K27" s="104"/>
      <c r="L27" s="104"/>
      <c r="M27" s="104"/>
      <c r="N27" s="104"/>
      <c r="O27" s="104"/>
      <c r="P27" s="600"/>
      <c r="Q27" s="600"/>
      <c r="R27" s="600"/>
      <c r="S27" s="600"/>
      <c r="T27" s="600"/>
      <c r="U27" s="600"/>
      <c r="V27" s="600"/>
      <c r="W27" s="600"/>
      <c r="X27" s="600"/>
      <c r="Y27" s="600"/>
      <c r="Z27" s="600"/>
      <c r="AA27" s="600"/>
    </row>
    <row r="28" spans="1:27" x14ac:dyDescent="0.25">
      <c r="A28" s="476"/>
      <c r="B28" s="497"/>
      <c r="C28" s="476" t="s">
        <v>1341</v>
      </c>
      <c r="D28" s="476" t="s">
        <v>571</v>
      </c>
      <c r="E28" s="497" t="s">
        <v>1272</v>
      </c>
      <c r="F28" s="568">
        <v>33.0991</v>
      </c>
      <c r="G28" s="568">
        <v>1</v>
      </c>
      <c r="H28" s="568"/>
      <c r="I28" s="568">
        <f>F28*G28*H6</f>
        <v>33.0991</v>
      </c>
      <c r="J28" s="104"/>
      <c r="K28" s="104"/>
      <c r="L28" s="104"/>
      <c r="M28" s="104"/>
      <c r="N28" s="104"/>
      <c r="O28" s="104"/>
      <c r="P28" s="600"/>
      <c r="Q28" s="600"/>
      <c r="R28" s="600"/>
      <c r="S28" s="600"/>
      <c r="T28" s="600"/>
      <c r="U28" s="600"/>
      <c r="V28" s="600"/>
      <c r="W28" s="600"/>
      <c r="X28" s="600"/>
      <c r="Y28" s="600"/>
      <c r="Z28" s="600"/>
      <c r="AA28" s="600"/>
    </row>
    <row r="29" spans="1:27" x14ac:dyDescent="0.25">
      <c r="A29" s="476"/>
      <c r="B29" s="497"/>
      <c r="C29" s="476" t="s">
        <v>1247</v>
      </c>
      <c r="D29" s="476" t="s">
        <v>608</v>
      </c>
      <c r="E29" s="497" t="s">
        <v>1272</v>
      </c>
      <c r="F29" s="568">
        <v>0</v>
      </c>
      <c r="G29" s="568">
        <v>1</v>
      </c>
      <c r="H29" s="568"/>
      <c r="I29" s="568">
        <f>F29*G29*H6</f>
        <v>0</v>
      </c>
      <c r="J29" s="104"/>
      <c r="K29" s="104"/>
      <c r="L29" s="104"/>
      <c r="M29" s="104"/>
      <c r="N29" s="104"/>
      <c r="O29" s="104"/>
      <c r="P29" s="600"/>
      <c r="Q29" s="600"/>
      <c r="R29" s="600"/>
      <c r="S29" s="600"/>
      <c r="T29" s="600"/>
      <c r="U29" s="600"/>
      <c r="V29" s="600"/>
      <c r="W29" s="600"/>
      <c r="X29" s="600"/>
      <c r="Y29" s="600"/>
      <c r="Z29" s="600"/>
      <c r="AA29" s="600"/>
    </row>
    <row r="30" spans="1:27" x14ac:dyDescent="0.25">
      <c r="A30" s="476"/>
      <c r="B30" s="497"/>
      <c r="C30" s="476" t="s">
        <v>698</v>
      </c>
      <c r="D30" s="476" t="s">
        <v>606</v>
      </c>
      <c r="E30" s="497" t="s">
        <v>1272</v>
      </c>
      <c r="F30" s="568">
        <v>35.330500000000001</v>
      </c>
      <c r="G30" s="568">
        <v>1</v>
      </c>
      <c r="H30" s="568"/>
      <c r="I30" s="568">
        <f>F30*G30*H6</f>
        <v>35.330500000000001</v>
      </c>
      <c r="J30" s="104"/>
      <c r="K30" s="104"/>
      <c r="L30" s="104"/>
      <c r="M30" s="104"/>
      <c r="N30" s="104"/>
      <c r="O30" s="104"/>
      <c r="P30" s="600"/>
      <c r="Q30" s="600"/>
      <c r="R30" s="600"/>
      <c r="S30" s="600"/>
      <c r="T30" s="600"/>
      <c r="U30" s="600"/>
      <c r="V30" s="600"/>
      <c r="W30" s="600"/>
      <c r="X30" s="600"/>
      <c r="Y30" s="600"/>
      <c r="Z30" s="600"/>
      <c r="AA30" s="600"/>
    </row>
    <row r="31" spans="1:27" x14ac:dyDescent="0.25">
      <c r="A31" s="765"/>
      <c r="B31" s="782">
        <v>2</v>
      </c>
      <c r="C31" s="765" t="s">
        <v>485</v>
      </c>
      <c r="D31" s="765" t="s">
        <v>744</v>
      </c>
      <c r="E31" s="782" t="s">
        <v>239</v>
      </c>
      <c r="F31" s="467"/>
      <c r="G31" s="467"/>
      <c r="H31" s="467">
        <v>1</v>
      </c>
      <c r="I31" s="467">
        <f>SUM(I32:I55)</f>
        <v>460.71000000000004</v>
      </c>
      <c r="J31" s="398">
        <v>208802</v>
      </c>
      <c r="K31" s="398">
        <f>I31*J31</f>
        <v>96197169.420000002</v>
      </c>
      <c r="L31" s="398">
        <v>242336</v>
      </c>
      <c r="M31" s="398">
        <f>I31*L31</f>
        <v>111646618.56</v>
      </c>
      <c r="N31" s="398">
        <f>L31-J31</f>
        <v>33534</v>
      </c>
      <c r="O31" s="398">
        <f>I31*N31</f>
        <v>15449449.140000001</v>
      </c>
      <c r="P31" s="600"/>
      <c r="Q31" s="600"/>
      <c r="R31" s="600"/>
      <c r="S31" s="600"/>
      <c r="T31" s="600"/>
      <c r="U31" s="600"/>
      <c r="V31" s="600"/>
      <c r="W31" s="600"/>
      <c r="X31" s="600"/>
      <c r="Y31" s="600"/>
      <c r="Z31" s="600"/>
      <c r="AA31" s="600"/>
    </row>
    <row r="32" spans="1:27" x14ac:dyDescent="0.25">
      <c r="A32" s="476"/>
      <c r="B32" s="497"/>
      <c r="C32" s="476" t="s">
        <v>369</v>
      </c>
      <c r="D32" s="476" t="s">
        <v>356</v>
      </c>
      <c r="E32" s="497" t="s">
        <v>1272</v>
      </c>
      <c r="F32" s="568">
        <v>7.9618000000000002</v>
      </c>
      <c r="G32" s="568">
        <v>1</v>
      </c>
      <c r="H32" s="568"/>
      <c r="I32" s="568">
        <f>F32*G32*H31</f>
        <v>7.9618000000000002</v>
      </c>
      <c r="J32" s="104"/>
      <c r="K32" s="104"/>
      <c r="L32" s="104"/>
      <c r="M32" s="104"/>
      <c r="N32" s="104"/>
      <c r="O32" s="104"/>
      <c r="P32" s="600"/>
      <c r="Q32" s="600"/>
      <c r="R32" s="600"/>
      <c r="S32" s="600"/>
      <c r="T32" s="600"/>
      <c r="U32" s="600"/>
      <c r="V32" s="600"/>
      <c r="W32" s="600"/>
      <c r="X32" s="600"/>
      <c r="Y32" s="600"/>
      <c r="Z32" s="600"/>
      <c r="AA32" s="600"/>
    </row>
    <row r="33" spans="1:27" x14ac:dyDescent="0.25">
      <c r="A33" s="476"/>
      <c r="B33" s="497"/>
      <c r="C33" s="476" t="s">
        <v>1395</v>
      </c>
      <c r="D33" s="476" t="s">
        <v>838</v>
      </c>
      <c r="E33" s="497" t="s">
        <v>1272</v>
      </c>
      <c r="F33" s="568">
        <v>33.0991</v>
      </c>
      <c r="G33" s="568">
        <v>1</v>
      </c>
      <c r="H33" s="568"/>
      <c r="I33" s="568">
        <f>F33*G33*H31</f>
        <v>33.0991</v>
      </c>
      <c r="J33" s="104"/>
      <c r="K33" s="104"/>
      <c r="L33" s="104"/>
      <c r="M33" s="104"/>
      <c r="N33" s="104"/>
      <c r="O33" s="104"/>
      <c r="P33" s="600"/>
      <c r="Q33" s="600"/>
      <c r="R33" s="600"/>
      <c r="S33" s="600"/>
      <c r="T33" s="600"/>
      <c r="U33" s="600"/>
      <c r="V33" s="600"/>
      <c r="W33" s="600"/>
      <c r="X33" s="600"/>
      <c r="Y33" s="600"/>
      <c r="Z33" s="600"/>
      <c r="AA33" s="600"/>
    </row>
    <row r="34" spans="1:27" x14ac:dyDescent="0.25">
      <c r="A34" s="476"/>
      <c r="B34" s="497"/>
      <c r="C34" s="476" t="s">
        <v>928</v>
      </c>
      <c r="D34" s="476" t="s">
        <v>195</v>
      </c>
      <c r="E34" s="497" t="s">
        <v>1272</v>
      </c>
      <c r="F34" s="568">
        <v>5.6870000000000003</v>
      </c>
      <c r="G34" s="568">
        <v>1</v>
      </c>
      <c r="H34" s="568"/>
      <c r="I34" s="568">
        <f>F34*G34*H31</f>
        <v>5.6870000000000003</v>
      </c>
      <c r="J34" s="104"/>
      <c r="K34" s="104"/>
      <c r="L34" s="104"/>
      <c r="M34" s="104"/>
      <c r="N34" s="104"/>
      <c r="O34" s="104"/>
      <c r="P34" s="600"/>
      <c r="Q34" s="600"/>
      <c r="R34" s="600"/>
      <c r="S34" s="600"/>
      <c r="T34" s="600"/>
      <c r="U34" s="600"/>
      <c r="V34" s="600"/>
      <c r="W34" s="600"/>
      <c r="X34" s="600"/>
      <c r="Y34" s="600"/>
      <c r="Z34" s="600"/>
      <c r="AA34" s="600"/>
    </row>
    <row r="35" spans="1:27" x14ac:dyDescent="0.25">
      <c r="A35" s="476"/>
      <c r="B35" s="497"/>
      <c r="C35" s="476" t="s">
        <v>1341</v>
      </c>
      <c r="D35" s="476" t="s">
        <v>571</v>
      </c>
      <c r="E35" s="497" t="s">
        <v>1272</v>
      </c>
      <c r="F35" s="568">
        <v>33.0991</v>
      </c>
      <c r="G35" s="568">
        <v>1</v>
      </c>
      <c r="H35" s="568"/>
      <c r="I35" s="568">
        <f>F35*G35*H31</f>
        <v>33.0991</v>
      </c>
      <c r="J35" s="104"/>
      <c r="K35" s="104"/>
      <c r="L35" s="104"/>
      <c r="M35" s="104"/>
      <c r="N35" s="104"/>
      <c r="O35" s="104"/>
      <c r="P35" s="600"/>
      <c r="Q35" s="600"/>
      <c r="R35" s="600"/>
      <c r="S35" s="600"/>
      <c r="T35" s="600"/>
      <c r="U35" s="600"/>
      <c r="V35" s="600"/>
      <c r="W35" s="600"/>
      <c r="X35" s="600"/>
      <c r="Y35" s="600"/>
      <c r="Z35" s="600"/>
      <c r="AA35" s="600"/>
    </row>
    <row r="36" spans="1:27" x14ac:dyDescent="0.25">
      <c r="A36" s="476"/>
      <c r="B36" s="497"/>
      <c r="C36" s="476" t="s">
        <v>1247</v>
      </c>
      <c r="D36" s="476" t="s">
        <v>608</v>
      </c>
      <c r="E36" s="497" t="s">
        <v>1272</v>
      </c>
      <c r="F36" s="568">
        <v>0</v>
      </c>
      <c r="G36" s="568">
        <v>1</v>
      </c>
      <c r="H36" s="568"/>
      <c r="I36" s="568">
        <f>F36*G36*H31</f>
        <v>0</v>
      </c>
      <c r="J36" s="104"/>
      <c r="K36" s="104"/>
      <c r="L36" s="104"/>
      <c r="M36" s="104"/>
      <c r="N36" s="104"/>
      <c r="O36" s="104"/>
      <c r="P36" s="600"/>
      <c r="Q36" s="600"/>
      <c r="R36" s="600"/>
      <c r="S36" s="600"/>
      <c r="T36" s="600"/>
      <c r="U36" s="600"/>
      <c r="V36" s="600"/>
      <c r="W36" s="600"/>
      <c r="X36" s="600"/>
      <c r="Y36" s="600"/>
      <c r="Z36" s="600"/>
      <c r="AA36" s="600"/>
    </row>
    <row r="37" spans="1:27" x14ac:dyDescent="0.25">
      <c r="A37" s="476"/>
      <c r="B37" s="497"/>
      <c r="C37" s="476" t="s">
        <v>698</v>
      </c>
      <c r="D37" s="476" t="s">
        <v>606</v>
      </c>
      <c r="E37" s="497" t="s">
        <v>1272</v>
      </c>
      <c r="F37" s="568">
        <v>35.330500000000001</v>
      </c>
      <c r="G37" s="568">
        <v>1</v>
      </c>
      <c r="H37" s="568"/>
      <c r="I37" s="568">
        <f>F37*G37*H31</f>
        <v>35.330500000000001</v>
      </c>
      <c r="J37" s="104"/>
      <c r="K37" s="104"/>
      <c r="L37" s="104"/>
      <c r="M37" s="104"/>
      <c r="N37" s="104"/>
      <c r="O37" s="104"/>
      <c r="P37" s="600"/>
      <c r="Q37" s="600"/>
      <c r="R37" s="600"/>
      <c r="S37" s="600"/>
      <c r="T37" s="600"/>
      <c r="U37" s="600"/>
      <c r="V37" s="600"/>
      <c r="W37" s="600"/>
      <c r="X37" s="600"/>
      <c r="Y37" s="600"/>
      <c r="Z37" s="600"/>
      <c r="AA37" s="600"/>
    </row>
    <row r="38" spans="1:27" x14ac:dyDescent="0.25">
      <c r="A38" s="476"/>
      <c r="B38" s="497"/>
      <c r="C38" s="476" t="s">
        <v>369</v>
      </c>
      <c r="D38" s="476" t="s">
        <v>356</v>
      </c>
      <c r="E38" s="497" t="s">
        <v>1272</v>
      </c>
      <c r="F38" s="568">
        <v>7.9618000000000002</v>
      </c>
      <c r="G38" s="568">
        <v>1</v>
      </c>
      <c r="H38" s="568"/>
      <c r="I38" s="568">
        <f>F38*G38*H31</f>
        <v>7.9618000000000002</v>
      </c>
      <c r="J38" s="104"/>
      <c r="K38" s="104"/>
      <c r="L38" s="104"/>
      <c r="M38" s="104"/>
      <c r="N38" s="104"/>
      <c r="O38" s="104"/>
      <c r="P38" s="600"/>
      <c r="Q38" s="600"/>
      <c r="R38" s="600"/>
      <c r="S38" s="600"/>
      <c r="T38" s="600"/>
      <c r="U38" s="600"/>
      <c r="V38" s="600"/>
      <c r="W38" s="600"/>
      <c r="X38" s="600"/>
      <c r="Y38" s="600"/>
      <c r="Z38" s="600"/>
      <c r="AA38" s="600"/>
    </row>
    <row r="39" spans="1:27" x14ac:dyDescent="0.25">
      <c r="A39" s="476"/>
      <c r="B39" s="497"/>
      <c r="C39" s="476" t="s">
        <v>1395</v>
      </c>
      <c r="D39" s="476" t="s">
        <v>838</v>
      </c>
      <c r="E39" s="497" t="s">
        <v>1272</v>
      </c>
      <c r="F39" s="568">
        <v>33.0991</v>
      </c>
      <c r="G39" s="568">
        <v>1</v>
      </c>
      <c r="H39" s="568"/>
      <c r="I39" s="568">
        <f>F39*G39*H31</f>
        <v>33.0991</v>
      </c>
      <c r="J39" s="104"/>
      <c r="K39" s="104"/>
      <c r="L39" s="104"/>
      <c r="M39" s="104"/>
      <c r="N39" s="104"/>
      <c r="O39" s="104"/>
      <c r="P39" s="600"/>
      <c r="Q39" s="600"/>
      <c r="R39" s="600"/>
      <c r="S39" s="600"/>
      <c r="T39" s="600"/>
      <c r="U39" s="600"/>
      <c r="V39" s="600"/>
      <c r="W39" s="600"/>
      <c r="X39" s="600"/>
      <c r="Y39" s="600"/>
      <c r="Z39" s="600"/>
      <c r="AA39" s="600"/>
    </row>
    <row r="40" spans="1:27" x14ac:dyDescent="0.25">
      <c r="A40" s="476"/>
      <c r="B40" s="497"/>
      <c r="C40" s="476" t="s">
        <v>928</v>
      </c>
      <c r="D40" s="476" t="s">
        <v>195</v>
      </c>
      <c r="E40" s="497" t="s">
        <v>1272</v>
      </c>
      <c r="F40" s="568">
        <v>5.6870000000000003</v>
      </c>
      <c r="G40" s="568">
        <v>1</v>
      </c>
      <c r="H40" s="568"/>
      <c r="I40" s="568">
        <f>F40*G40*H31</f>
        <v>5.6870000000000003</v>
      </c>
      <c r="J40" s="104"/>
      <c r="K40" s="104"/>
      <c r="L40" s="104"/>
      <c r="M40" s="104"/>
      <c r="N40" s="104"/>
      <c r="O40" s="104"/>
      <c r="P40" s="600"/>
      <c r="Q40" s="600"/>
      <c r="R40" s="600"/>
      <c r="S40" s="600"/>
      <c r="T40" s="600"/>
      <c r="U40" s="600"/>
      <c r="V40" s="600"/>
      <c r="W40" s="600"/>
      <c r="X40" s="600"/>
      <c r="Y40" s="600"/>
      <c r="Z40" s="600"/>
      <c r="AA40" s="600"/>
    </row>
    <row r="41" spans="1:27" x14ac:dyDescent="0.25">
      <c r="A41" s="476"/>
      <c r="B41" s="497"/>
      <c r="C41" s="476" t="s">
        <v>1341</v>
      </c>
      <c r="D41" s="476" t="s">
        <v>571</v>
      </c>
      <c r="E41" s="497" t="s">
        <v>1272</v>
      </c>
      <c r="F41" s="568">
        <v>33.0991</v>
      </c>
      <c r="G41" s="568">
        <v>1</v>
      </c>
      <c r="H41" s="568"/>
      <c r="I41" s="568">
        <f>F41*G41*H31</f>
        <v>33.0991</v>
      </c>
      <c r="J41" s="104"/>
      <c r="K41" s="104"/>
      <c r="L41" s="104"/>
      <c r="M41" s="104"/>
      <c r="N41" s="104"/>
      <c r="O41" s="104"/>
      <c r="P41" s="600"/>
      <c r="Q41" s="600"/>
      <c r="R41" s="600"/>
      <c r="S41" s="600"/>
      <c r="T41" s="600"/>
      <c r="U41" s="600"/>
      <c r="V41" s="600"/>
      <c r="W41" s="600"/>
      <c r="X41" s="600"/>
      <c r="Y41" s="600"/>
      <c r="Z41" s="600"/>
      <c r="AA41" s="600"/>
    </row>
    <row r="42" spans="1:27" x14ac:dyDescent="0.25">
      <c r="A42" s="476"/>
      <c r="B42" s="497"/>
      <c r="C42" s="476" t="s">
        <v>1247</v>
      </c>
      <c r="D42" s="476" t="s">
        <v>608</v>
      </c>
      <c r="E42" s="497" t="s">
        <v>1272</v>
      </c>
      <c r="F42" s="568">
        <v>0</v>
      </c>
      <c r="G42" s="568">
        <v>1</v>
      </c>
      <c r="H42" s="568"/>
      <c r="I42" s="568">
        <f>F42*G42*H31</f>
        <v>0</v>
      </c>
      <c r="J42" s="104"/>
      <c r="K42" s="104"/>
      <c r="L42" s="104"/>
      <c r="M42" s="104"/>
      <c r="N42" s="104"/>
      <c r="O42" s="104"/>
      <c r="P42" s="600"/>
      <c r="Q42" s="600"/>
      <c r="R42" s="600"/>
      <c r="S42" s="600"/>
      <c r="T42" s="600"/>
      <c r="U42" s="600"/>
      <c r="V42" s="600"/>
      <c r="W42" s="600"/>
      <c r="X42" s="600"/>
      <c r="Y42" s="600"/>
      <c r="Z42" s="600"/>
      <c r="AA42" s="600"/>
    </row>
    <row r="43" spans="1:27" x14ac:dyDescent="0.25">
      <c r="A43" s="476"/>
      <c r="B43" s="497"/>
      <c r="C43" s="476" t="s">
        <v>698</v>
      </c>
      <c r="D43" s="476" t="s">
        <v>606</v>
      </c>
      <c r="E43" s="497" t="s">
        <v>1272</v>
      </c>
      <c r="F43" s="568">
        <v>35.330500000000001</v>
      </c>
      <c r="G43" s="568">
        <v>1</v>
      </c>
      <c r="H43" s="568"/>
      <c r="I43" s="568">
        <f>F43*G43*H31</f>
        <v>35.330500000000001</v>
      </c>
      <c r="J43" s="104"/>
      <c r="K43" s="104"/>
      <c r="L43" s="104"/>
      <c r="M43" s="104"/>
      <c r="N43" s="104"/>
      <c r="O43" s="104"/>
      <c r="P43" s="600"/>
      <c r="Q43" s="600"/>
      <c r="R43" s="600"/>
      <c r="S43" s="600"/>
      <c r="T43" s="600"/>
      <c r="U43" s="600"/>
      <c r="V43" s="600"/>
      <c r="W43" s="600"/>
      <c r="X43" s="600"/>
      <c r="Y43" s="600"/>
      <c r="Z43" s="600"/>
      <c r="AA43" s="600"/>
    </row>
    <row r="44" spans="1:27" x14ac:dyDescent="0.25">
      <c r="A44" s="476"/>
      <c r="B44" s="497"/>
      <c r="C44" s="476" t="s">
        <v>369</v>
      </c>
      <c r="D44" s="476" t="s">
        <v>356</v>
      </c>
      <c r="E44" s="497" t="s">
        <v>1272</v>
      </c>
      <c r="F44" s="568">
        <v>7.9618000000000002</v>
      </c>
      <c r="G44" s="568">
        <v>1</v>
      </c>
      <c r="H44" s="568"/>
      <c r="I44" s="568">
        <f>F44*G44*H31</f>
        <v>7.9618000000000002</v>
      </c>
      <c r="J44" s="104"/>
      <c r="K44" s="104"/>
      <c r="L44" s="104"/>
      <c r="M44" s="104"/>
      <c r="N44" s="104"/>
      <c r="O44" s="104"/>
      <c r="P44" s="600"/>
      <c r="Q44" s="600"/>
      <c r="R44" s="600"/>
      <c r="S44" s="600"/>
      <c r="T44" s="600"/>
      <c r="U44" s="600"/>
      <c r="V44" s="600"/>
      <c r="W44" s="600"/>
      <c r="X44" s="600"/>
      <c r="Y44" s="600"/>
      <c r="Z44" s="600"/>
      <c r="AA44" s="600"/>
    </row>
    <row r="45" spans="1:27" x14ac:dyDescent="0.25">
      <c r="A45" s="476"/>
      <c r="B45" s="497"/>
      <c r="C45" s="476" t="s">
        <v>1395</v>
      </c>
      <c r="D45" s="476" t="s">
        <v>838</v>
      </c>
      <c r="E45" s="497" t="s">
        <v>1272</v>
      </c>
      <c r="F45" s="568">
        <v>33.0991</v>
      </c>
      <c r="G45" s="568">
        <v>1</v>
      </c>
      <c r="H45" s="568"/>
      <c r="I45" s="568">
        <f>F45*G45*H31</f>
        <v>33.0991</v>
      </c>
      <c r="J45" s="104"/>
      <c r="K45" s="104"/>
      <c r="L45" s="104"/>
      <c r="M45" s="104"/>
      <c r="N45" s="104"/>
      <c r="O45" s="104"/>
      <c r="P45" s="600"/>
      <c r="Q45" s="600"/>
      <c r="R45" s="600"/>
      <c r="S45" s="600"/>
      <c r="T45" s="600"/>
      <c r="U45" s="600"/>
      <c r="V45" s="600"/>
      <c r="W45" s="600"/>
      <c r="X45" s="600"/>
      <c r="Y45" s="600"/>
      <c r="Z45" s="600"/>
      <c r="AA45" s="600"/>
    </row>
    <row r="46" spans="1:27" x14ac:dyDescent="0.25">
      <c r="A46" s="476"/>
      <c r="B46" s="497"/>
      <c r="C46" s="476" t="s">
        <v>928</v>
      </c>
      <c r="D46" s="476" t="s">
        <v>195</v>
      </c>
      <c r="E46" s="497" t="s">
        <v>1272</v>
      </c>
      <c r="F46" s="568">
        <v>5.6870000000000003</v>
      </c>
      <c r="G46" s="568">
        <v>1</v>
      </c>
      <c r="H46" s="568"/>
      <c r="I46" s="568">
        <f>F46*G46*H31</f>
        <v>5.6870000000000003</v>
      </c>
      <c r="J46" s="104"/>
      <c r="K46" s="104"/>
      <c r="L46" s="104"/>
      <c r="M46" s="104"/>
      <c r="N46" s="104"/>
      <c r="O46" s="104"/>
      <c r="P46" s="600"/>
      <c r="Q46" s="600"/>
      <c r="R46" s="600"/>
      <c r="S46" s="600"/>
      <c r="T46" s="600"/>
      <c r="U46" s="600"/>
      <c r="V46" s="600"/>
      <c r="W46" s="600"/>
      <c r="X46" s="600"/>
      <c r="Y46" s="600"/>
      <c r="Z46" s="600"/>
      <c r="AA46" s="600"/>
    </row>
    <row r="47" spans="1:27" x14ac:dyDescent="0.25">
      <c r="A47" s="476"/>
      <c r="B47" s="497"/>
      <c r="C47" s="476" t="s">
        <v>1341</v>
      </c>
      <c r="D47" s="476" t="s">
        <v>571</v>
      </c>
      <c r="E47" s="497" t="s">
        <v>1272</v>
      </c>
      <c r="F47" s="568">
        <v>33.0991</v>
      </c>
      <c r="G47" s="568">
        <v>1</v>
      </c>
      <c r="H47" s="568"/>
      <c r="I47" s="568">
        <f>F47*G47*H31</f>
        <v>33.0991</v>
      </c>
      <c r="J47" s="104"/>
      <c r="K47" s="104"/>
      <c r="L47" s="104"/>
      <c r="M47" s="104"/>
      <c r="N47" s="104"/>
      <c r="O47" s="104"/>
      <c r="P47" s="600"/>
      <c r="Q47" s="600"/>
      <c r="R47" s="600"/>
      <c r="S47" s="600"/>
      <c r="T47" s="600"/>
      <c r="U47" s="600"/>
      <c r="V47" s="600"/>
      <c r="W47" s="600"/>
      <c r="X47" s="600"/>
      <c r="Y47" s="600"/>
      <c r="Z47" s="600"/>
      <c r="AA47" s="600"/>
    </row>
    <row r="48" spans="1:27" x14ac:dyDescent="0.25">
      <c r="A48" s="476"/>
      <c r="B48" s="497"/>
      <c r="C48" s="476" t="s">
        <v>1247</v>
      </c>
      <c r="D48" s="476" t="s">
        <v>608</v>
      </c>
      <c r="E48" s="497" t="s">
        <v>1272</v>
      </c>
      <c r="F48" s="568">
        <v>0</v>
      </c>
      <c r="G48" s="568">
        <v>1</v>
      </c>
      <c r="H48" s="568"/>
      <c r="I48" s="568">
        <f>F48*G48*H31</f>
        <v>0</v>
      </c>
      <c r="J48" s="104"/>
      <c r="K48" s="104"/>
      <c r="L48" s="104"/>
      <c r="M48" s="104"/>
      <c r="N48" s="104"/>
      <c r="O48" s="104"/>
      <c r="P48" s="600"/>
      <c r="Q48" s="600"/>
      <c r="R48" s="600"/>
      <c r="S48" s="600"/>
      <c r="T48" s="600"/>
      <c r="U48" s="600"/>
      <c r="V48" s="600"/>
      <c r="W48" s="600"/>
      <c r="X48" s="600"/>
      <c r="Y48" s="600"/>
      <c r="Z48" s="600"/>
      <c r="AA48" s="600"/>
    </row>
    <row r="49" spans="1:27" x14ac:dyDescent="0.25">
      <c r="A49" s="476"/>
      <c r="B49" s="497"/>
      <c r="C49" s="476" t="s">
        <v>698</v>
      </c>
      <c r="D49" s="476" t="s">
        <v>606</v>
      </c>
      <c r="E49" s="497" t="s">
        <v>1272</v>
      </c>
      <c r="F49" s="568">
        <v>35.330500000000001</v>
      </c>
      <c r="G49" s="568">
        <v>1</v>
      </c>
      <c r="H49" s="568"/>
      <c r="I49" s="568">
        <f>F49*G49*H31</f>
        <v>35.330500000000001</v>
      </c>
      <c r="J49" s="104"/>
      <c r="K49" s="104"/>
      <c r="L49" s="104"/>
      <c r="M49" s="104"/>
      <c r="N49" s="104"/>
      <c r="O49" s="104"/>
      <c r="P49" s="600"/>
      <c r="Q49" s="600"/>
      <c r="R49" s="600"/>
      <c r="S49" s="600"/>
      <c r="T49" s="600"/>
      <c r="U49" s="600"/>
      <c r="V49" s="600"/>
      <c r="W49" s="600"/>
      <c r="X49" s="600"/>
      <c r="Y49" s="600"/>
      <c r="Z49" s="600"/>
      <c r="AA49" s="600"/>
    </row>
    <row r="50" spans="1:27" x14ac:dyDescent="0.25">
      <c r="A50" s="476"/>
      <c r="B50" s="497"/>
      <c r="C50" s="476" t="s">
        <v>369</v>
      </c>
      <c r="D50" s="476" t="s">
        <v>356</v>
      </c>
      <c r="E50" s="497" t="s">
        <v>1272</v>
      </c>
      <c r="F50" s="568">
        <v>7.9618000000000002</v>
      </c>
      <c r="G50" s="568">
        <v>1</v>
      </c>
      <c r="H50" s="568"/>
      <c r="I50" s="568">
        <f>F50*G50*H31</f>
        <v>7.9618000000000002</v>
      </c>
      <c r="J50" s="104"/>
      <c r="K50" s="104"/>
      <c r="L50" s="104"/>
      <c r="M50" s="104"/>
      <c r="N50" s="104"/>
      <c r="O50" s="104"/>
      <c r="P50" s="600"/>
      <c r="Q50" s="600"/>
      <c r="R50" s="600"/>
      <c r="S50" s="600"/>
      <c r="T50" s="600"/>
      <c r="U50" s="600"/>
      <c r="V50" s="600"/>
      <c r="W50" s="600"/>
      <c r="X50" s="600"/>
      <c r="Y50" s="600"/>
      <c r="Z50" s="600"/>
      <c r="AA50" s="600"/>
    </row>
    <row r="51" spans="1:27" x14ac:dyDescent="0.25">
      <c r="A51" s="476"/>
      <c r="B51" s="497"/>
      <c r="C51" s="476" t="s">
        <v>1395</v>
      </c>
      <c r="D51" s="476" t="s">
        <v>838</v>
      </c>
      <c r="E51" s="497" t="s">
        <v>1272</v>
      </c>
      <c r="F51" s="568">
        <v>33.0991</v>
      </c>
      <c r="G51" s="568">
        <v>1</v>
      </c>
      <c r="H51" s="568"/>
      <c r="I51" s="568">
        <f>F51*G51*H31</f>
        <v>33.0991</v>
      </c>
      <c r="J51" s="104"/>
      <c r="K51" s="104"/>
      <c r="L51" s="104"/>
      <c r="M51" s="104"/>
      <c r="N51" s="104"/>
      <c r="O51" s="104"/>
      <c r="P51" s="600"/>
      <c r="Q51" s="600"/>
      <c r="R51" s="600"/>
      <c r="S51" s="600"/>
      <c r="T51" s="600"/>
      <c r="U51" s="600"/>
      <c r="V51" s="600"/>
      <c r="W51" s="600"/>
      <c r="X51" s="600"/>
      <c r="Y51" s="600"/>
      <c r="Z51" s="600"/>
      <c r="AA51" s="600"/>
    </row>
    <row r="52" spans="1:27" x14ac:dyDescent="0.25">
      <c r="A52" s="476"/>
      <c r="B52" s="497"/>
      <c r="C52" s="476" t="s">
        <v>928</v>
      </c>
      <c r="D52" s="476" t="s">
        <v>195</v>
      </c>
      <c r="E52" s="497" t="s">
        <v>1272</v>
      </c>
      <c r="F52" s="568">
        <v>5.6870000000000003</v>
      </c>
      <c r="G52" s="568">
        <v>1</v>
      </c>
      <c r="H52" s="568"/>
      <c r="I52" s="568">
        <f>F52*G52*H31</f>
        <v>5.6870000000000003</v>
      </c>
      <c r="J52" s="104"/>
      <c r="K52" s="104"/>
      <c r="L52" s="104"/>
      <c r="M52" s="104"/>
      <c r="N52" s="104"/>
      <c r="O52" s="104"/>
      <c r="P52" s="600"/>
      <c r="Q52" s="600"/>
      <c r="R52" s="600"/>
      <c r="S52" s="600"/>
      <c r="T52" s="600"/>
      <c r="U52" s="600"/>
      <c r="V52" s="600"/>
      <c r="W52" s="600"/>
      <c r="X52" s="600"/>
      <c r="Y52" s="600"/>
      <c r="Z52" s="600"/>
      <c r="AA52" s="600"/>
    </row>
    <row r="53" spans="1:27" x14ac:dyDescent="0.25">
      <c r="A53" s="476"/>
      <c r="B53" s="497"/>
      <c r="C53" s="476" t="s">
        <v>1341</v>
      </c>
      <c r="D53" s="476" t="s">
        <v>571</v>
      </c>
      <c r="E53" s="497" t="s">
        <v>1272</v>
      </c>
      <c r="F53" s="568">
        <v>33.0991</v>
      </c>
      <c r="G53" s="568">
        <v>1</v>
      </c>
      <c r="H53" s="568"/>
      <c r="I53" s="568">
        <f>F53*G53*H31</f>
        <v>33.0991</v>
      </c>
      <c r="J53" s="104"/>
      <c r="K53" s="104"/>
      <c r="L53" s="104"/>
      <c r="M53" s="104"/>
      <c r="N53" s="104"/>
      <c r="O53" s="104"/>
      <c r="P53" s="600"/>
      <c r="Q53" s="600"/>
      <c r="R53" s="600"/>
      <c r="S53" s="600"/>
      <c r="T53" s="600"/>
      <c r="U53" s="600"/>
      <c r="V53" s="600"/>
      <c r="W53" s="600"/>
      <c r="X53" s="600"/>
      <c r="Y53" s="600"/>
      <c r="Z53" s="600"/>
      <c r="AA53" s="600"/>
    </row>
    <row r="54" spans="1:27" x14ac:dyDescent="0.25">
      <c r="A54" s="476"/>
      <c r="B54" s="497"/>
      <c r="C54" s="476" t="s">
        <v>1247</v>
      </c>
      <c r="D54" s="476" t="s">
        <v>608</v>
      </c>
      <c r="E54" s="497" t="s">
        <v>1272</v>
      </c>
      <c r="F54" s="568">
        <v>0</v>
      </c>
      <c r="G54" s="568">
        <v>1</v>
      </c>
      <c r="H54" s="568"/>
      <c r="I54" s="568">
        <f>F54*G54*H31</f>
        <v>0</v>
      </c>
      <c r="J54" s="104"/>
      <c r="K54" s="104"/>
      <c r="L54" s="104"/>
      <c r="M54" s="104"/>
      <c r="N54" s="104"/>
      <c r="O54" s="104"/>
      <c r="P54" s="600"/>
      <c r="Q54" s="600"/>
      <c r="R54" s="600"/>
      <c r="S54" s="600"/>
      <c r="T54" s="600"/>
      <c r="U54" s="600"/>
      <c r="V54" s="600"/>
      <c r="W54" s="600"/>
      <c r="X54" s="600"/>
      <c r="Y54" s="600"/>
      <c r="Z54" s="600"/>
      <c r="AA54" s="600"/>
    </row>
    <row r="55" spans="1:27" x14ac:dyDescent="0.25">
      <c r="A55" s="476"/>
      <c r="B55" s="497"/>
      <c r="C55" s="476" t="s">
        <v>698</v>
      </c>
      <c r="D55" s="476" t="s">
        <v>606</v>
      </c>
      <c r="E55" s="497" t="s">
        <v>1272</v>
      </c>
      <c r="F55" s="568">
        <v>35.330500000000001</v>
      </c>
      <c r="G55" s="568">
        <v>1</v>
      </c>
      <c r="H55" s="568"/>
      <c r="I55" s="568">
        <f>F55*G55*H31</f>
        <v>35.330500000000001</v>
      </c>
      <c r="J55" s="104"/>
      <c r="K55" s="104"/>
      <c r="L55" s="104"/>
      <c r="M55" s="104"/>
      <c r="N55" s="104"/>
      <c r="O55" s="104"/>
      <c r="P55" s="600"/>
      <c r="Q55" s="600"/>
      <c r="R55" s="600"/>
      <c r="S55" s="600"/>
      <c r="T55" s="600"/>
      <c r="U55" s="600"/>
      <c r="V55" s="600"/>
      <c r="W55" s="600"/>
      <c r="X55" s="600"/>
      <c r="Y55" s="600"/>
      <c r="Z55" s="600"/>
      <c r="AA55" s="600"/>
    </row>
    <row r="56" spans="1:27" x14ac:dyDescent="0.25">
      <c r="A56" s="765"/>
      <c r="B56" s="782">
        <v>3</v>
      </c>
      <c r="C56" s="765" t="s">
        <v>714</v>
      </c>
      <c r="D56" s="765" t="s">
        <v>405</v>
      </c>
      <c r="E56" s="782" t="s">
        <v>239</v>
      </c>
      <c r="F56" s="467"/>
      <c r="G56" s="467"/>
      <c r="H56" s="467">
        <v>1</v>
      </c>
      <c r="I56" s="467">
        <f>SUM(I57:I72)</f>
        <v>3.9942399999999996</v>
      </c>
      <c r="J56" s="398">
        <v>0</v>
      </c>
      <c r="K56" s="398">
        <f>I56*J56</f>
        <v>0</v>
      </c>
      <c r="L56" s="398">
        <v>287664</v>
      </c>
      <c r="M56" s="398">
        <f>I56*L56</f>
        <v>1148999.0553599999</v>
      </c>
      <c r="N56" s="398">
        <f>L56-J56</f>
        <v>287664</v>
      </c>
      <c r="O56" s="398">
        <f>I56*N56</f>
        <v>1148999.0553599999</v>
      </c>
      <c r="P56" s="600"/>
      <c r="Q56" s="600"/>
      <c r="R56" s="600"/>
      <c r="S56" s="600"/>
      <c r="T56" s="600"/>
      <c r="U56" s="600"/>
      <c r="V56" s="600"/>
      <c r="W56" s="600"/>
      <c r="X56" s="600"/>
      <c r="Y56" s="600"/>
      <c r="Z56" s="600"/>
      <c r="AA56" s="600"/>
    </row>
    <row r="57" spans="1:27" x14ac:dyDescent="0.25">
      <c r="A57" s="476"/>
      <c r="B57" s="497"/>
      <c r="C57" s="476" t="s">
        <v>1203</v>
      </c>
      <c r="D57" s="476" t="s">
        <v>395</v>
      </c>
      <c r="E57" s="497" t="s">
        <v>1272</v>
      </c>
      <c r="F57" s="568">
        <v>0.86856</v>
      </c>
      <c r="G57" s="568">
        <v>1</v>
      </c>
      <c r="H57" s="568"/>
      <c r="I57" s="568">
        <f>F57*G57*H56</f>
        <v>0.86856</v>
      </c>
      <c r="J57" s="104"/>
      <c r="K57" s="104"/>
      <c r="L57" s="104"/>
      <c r="M57" s="104"/>
      <c r="N57" s="104"/>
      <c r="O57" s="104"/>
      <c r="P57" s="600"/>
      <c r="Q57" s="600"/>
      <c r="R57" s="600"/>
      <c r="S57" s="600"/>
      <c r="T57" s="600"/>
      <c r="U57" s="600"/>
      <c r="V57" s="600"/>
      <c r="W57" s="600"/>
      <c r="X57" s="600"/>
      <c r="Y57" s="600"/>
      <c r="Z57" s="600"/>
      <c r="AA57" s="600"/>
    </row>
    <row r="58" spans="1:27" x14ac:dyDescent="0.25">
      <c r="A58" s="476"/>
      <c r="B58" s="497"/>
      <c r="C58" s="476" t="s">
        <v>402</v>
      </c>
      <c r="D58" s="476" t="s">
        <v>1459</v>
      </c>
      <c r="E58" s="497" t="s">
        <v>1272</v>
      </c>
      <c r="F58" s="568">
        <v>0.13</v>
      </c>
      <c r="G58" s="568">
        <v>1</v>
      </c>
      <c r="H58" s="568"/>
      <c r="I58" s="568">
        <f>F58*G58*H56</f>
        <v>0.13</v>
      </c>
      <c r="J58" s="104"/>
      <c r="K58" s="104"/>
      <c r="L58" s="104"/>
      <c r="M58" s="104"/>
      <c r="N58" s="104"/>
      <c r="O58" s="104"/>
      <c r="P58" s="600"/>
      <c r="Q58" s="600"/>
      <c r="R58" s="600"/>
      <c r="S58" s="600"/>
      <c r="T58" s="600"/>
      <c r="U58" s="600"/>
      <c r="V58" s="600"/>
      <c r="W58" s="600"/>
      <c r="X58" s="600"/>
      <c r="Y58" s="600"/>
      <c r="Z58" s="600"/>
      <c r="AA58" s="600"/>
    </row>
    <row r="59" spans="1:27" x14ac:dyDescent="0.25">
      <c r="A59" s="476"/>
      <c r="B59" s="497"/>
      <c r="C59" s="476" t="s">
        <v>752</v>
      </c>
      <c r="D59" s="476" t="s">
        <v>1327</v>
      </c>
      <c r="E59" s="497" t="s">
        <v>1272</v>
      </c>
      <c r="F59" s="568">
        <v>0</v>
      </c>
      <c r="G59" s="568">
        <v>1</v>
      </c>
      <c r="H59" s="568"/>
      <c r="I59" s="568">
        <f>F59*G59*H56</f>
        <v>0</v>
      </c>
      <c r="J59" s="104"/>
      <c r="K59" s="104"/>
      <c r="L59" s="104"/>
      <c r="M59" s="104"/>
      <c r="N59" s="104"/>
      <c r="O59" s="104"/>
      <c r="P59" s="600"/>
      <c r="Q59" s="600"/>
      <c r="R59" s="600"/>
      <c r="S59" s="600"/>
      <c r="T59" s="600"/>
      <c r="U59" s="600"/>
      <c r="V59" s="600"/>
      <c r="W59" s="600"/>
      <c r="X59" s="600"/>
      <c r="Y59" s="600"/>
      <c r="Z59" s="600"/>
      <c r="AA59" s="600"/>
    </row>
    <row r="60" spans="1:27" x14ac:dyDescent="0.25">
      <c r="A60" s="476"/>
      <c r="B60" s="497"/>
      <c r="C60" s="476" t="s">
        <v>170</v>
      </c>
      <c r="D60" s="476" t="s">
        <v>554</v>
      </c>
      <c r="E60" s="497" t="s">
        <v>1272</v>
      </c>
      <c r="F60" s="568">
        <v>0</v>
      </c>
      <c r="G60" s="568">
        <v>1</v>
      </c>
      <c r="H60" s="568"/>
      <c r="I60" s="568">
        <f>F60*G60*H56</f>
        <v>0</v>
      </c>
      <c r="J60" s="104"/>
      <c r="K60" s="104"/>
      <c r="L60" s="104"/>
      <c r="M60" s="104"/>
      <c r="N60" s="104"/>
      <c r="O60" s="104"/>
      <c r="P60" s="600"/>
      <c r="Q60" s="600"/>
      <c r="R60" s="600"/>
      <c r="S60" s="600"/>
      <c r="T60" s="600"/>
      <c r="U60" s="600"/>
      <c r="V60" s="600"/>
      <c r="W60" s="600"/>
      <c r="X60" s="600"/>
      <c r="Y60" s="600"/>
      <c r="Z60" s="600"/>
      <c r="AA60" s="600"/>
    </row>
    <row r="61" spans="1:27" x14ac:dyDescent="0.25">
      <c r="A61" s="476"/>
      <c r="B61" s="497"/>
      <c r="C61" s="476" t="s">
        <v>1203</v>
      </c>
      <c r="D61" s="476" t="s">
        <v>395</v>
      </c>
      <c r="E61" s="497" t="s">
        <v>1272</v>
      </c>
      <c r="F61" s="568">
        <v>0.86856</v>
      </c>
      <c r="G61" s="568">
        <v>1</v>
      </c>
      <c r="H61" s="568"/>
      <c r="I61" s="568">
        <f>F61*G61*H56</f>
        <v>0.86856</v>
      </c>
      <c r="J61" s="104"/>
      <c r="K61" s="104"/>
      <c r="L61" s="104"/>
      <c r="M61" s="104"/>
      <c r="N61" s="104"/>
      <c r="O61" s="104"/>
      <c r="P61" s="600"/>
      <c r="Q61" s="600"/>
      <c r="R61" s="600"/>
      <c r="S61" s="600"/>
      <c r="T61" s="600"/>
      <c r="U61" s="600"/>
      <c r="V61" s="600"/>
      <c r="W61" s="600"/>
      <c r="X61" s="600"/>
      <c r="Y61" s="600"/>
      <c r="Z61" s="600"/>
      <c r="AA61" s="600"/>
    </row>
    <row r="62" spans="1:27" x14ac:dyDescent="0.25">
      <c r="A62" s="476"/>
      <c r="B62" s="497"/>
      <c r="C62" s="476" t="s">
        <v>402</v>
      </c>
      <c r="D62" s="476" t="s">
        <v>1459</v>
      </c>
      <c r="E62" s="497" t="s">
        <v>1272</v>
      </c>
      <c r="F62" s="568">
        <v>0.13</v>
      </c>
      <c r="G62" s="568">
        <v>1</v>
      </c>
      <c r="H62" s="568"/>
      <c r="I62" s="568">
        <f>F62*G62*H56</f>
        <v>0.13</v>
      </c>
      <c r="J62" s="104"/>
      <c r="K62" s="104"/>
      <c r="L62" s="104"/>
      <c r="M62" s="104"/>
      <c r="N62" s="104"/>
      <c r="O62" s="104"/>
      <c r="P62" s="600"/>
      <c r="Q62" s="600"/>
      <c r="R62" s="600"/>
      <c r="S62" s="600"/>
      <c r="T62" s="600"/>
      <c r="U62" s="600"/>
      <c r="V62" s="600"/>
      <c r="W62" s="600"/>
      <c r="X62" s="600"/>
      <c r="Y62" s="600"/>
      <c r="Z62" s="600"/>
      <c r="AA62" s="600"/>
    </row>
    <row r="63" spans="1:27" x14ac:dyDescent="0.25">
      <c r="A63" s="476"/>
      <c r="B63" s="497"/>
      <c r="C63" s="476" t="s">
        <v>752</v>
      </c>
      <c r="D63" s="476" t="s">
        <v>1327</v>
      </c>
      <c r="E63" s="497" t="s">
        <v>1272</v>
      </c>
      <c r="F63" s="568">
        <v>0</v>
      </c>
      <c r="G63" s="568">
        <v>1</v>
      </c>
      <c r="H63" s="568"/>
      <c r="I63" s="568">
        <f>F63*G63*H56</f>
        <v>0</v>
      </c>
      <c r="J63" s="104"/>
      <c r="K63" s="104"/>
      <c r="L63" s="104"/>
      <c r="M63" s="104"/>
      <c r="N63" s="104"/>
      <c r="O63" s="104"/>
      <c r="P63" s="600"/>
      <c r="Q63" s="600"/>
      <c r="R63" s="600"/>
      <c r="S63" s="600"/>
      <c r="T63" s="600"/>
      <c r="U63" s="600"/>
      <c r="V63" s="600"/>
      <c r="W63" s="600"/>
      <c r="X63" s="600"/>
      <c r="Y63" s="600"/>
      <c r="Z63" s="600"/>
      <c r="AA63" s="600"/>
    </row>
    <row r="64" spans="1:27" x14ac:dyDescent="0.25">
      <c r="A64" s="476"/>
      <c r="B64" s="497"/>
      <c r="C64" s="476" t="s">
        <v>170</v>
      </c>
      <c r="D64" s="476" t="s">
        <v>554</v>
      </c>
      <c r="E64" s="497" t="s">
        <v>1272</v>
      </c>
      <c r="F64" s="568">
        <v>0</v>
      </c>
      <c r="G64" s="568">
        <v>1</v>
      </c>
      <c r="H64" s="568"/>
      <c r="I64" s="568">
        <f>F64*G64*H56</f>
        <v>0</v>
      </c>
      <c r="J64" s="104"/>
      <c r="K64" s="104"/>
      <c r="L64" s="104"/>
      <c r="M64" s="104"/>
      <c r="N64" s="104"/>
      <c r="O64" s="104"/>
      <c r="P64" s="600"/>
      <c r="Q64" s="600"/>
      <c r="R64" s="600"/>
      <c r="S64" s="600"/>
      <c r="T64" s="600"/>
      <c r="U64" s="600"/>
      <c r="V64" s="600"/>
      <c r="W64" s="600"/>
      <c r="X64" s="600"/>
      <c r="Y64" s="600"/>
      <c r="Z64" s="600"/>
      <c r="AA64" s="600"/>
    </row>
    <row r="65" spans="1:27" x14ac:dyDescent="0.25">
      <c r="A65" s="476"/>
      <c r="B65" s="497"/>
      <c r="C65" s="476" t="s">
        <v>1203</v>
      </c>
      <c r="D65" s="476" t="s">
        <v>395</v>
      </c>
      <c r="E65" s="497" t="s">
        <v>1272</v>
      </c>
      <c r="F65" s="568">
        <v>0.86856</v>
      </c>
      <c r="G65" s="568">
        <v>1</v>
      </c>
      <c r="H65" s="568"/>
      <c r="I65" s="568">
        <f>F65*G65*H56</f>
        <v>0.86856</v>
      </c>
      <c r="J65" s="104"/>
      <c r="K65" s="104"/>
      <c r="L65" s="104"/>
      <c r="M65" s="104"/>
      <c r="N65" s="104"/>
      <c r="O65" s="104"/>
      <c r="P65" s="600"/>
      <c r="Q65" s="600"/>
      <c r="R65" s="600"/>
      <c r="S65" s="600"/>
      <c r="T65" s="600"/>
      <c r="U65" s="600"/>
      <c r="V65" s="600"/>
      <c r="W65" s="600"/>
      <c r="X65" s="600"/>
      <c r="Y65" s="600"/>
      <c r="Z65" s="600"/>
      <c r="AA65" s="600"/>
    </row>
    <row r="66" spans="1:27" x14ac:dyDescent="0.25">
      <c r="A66" s="476"/>
      <c r="B66" s="497"/>
      <c r="C66" s="476" t="s">
        <v>402</v>
      </c>
      <c r="D66" s="476" t="s">
        <v>1459</v>
      </c>
      <c r="E66" s="497" t="s">
        <v>1272</v>
      </c>
      <c r="F66" s="568">
        <v>0.13</v>
      </c>
      <c r="G66" s="568">
        <v>1</v>
      </c>
      <c r="H66" s="568"/>
      <c r="I66" s="568">
        <f>F66*G66*H56</f>
        <v>0.13</v>
      </c>
      <c r="J66" s="104"/>
      <c r="K66" s="104"/>
      <c r="L66" s="104"/>
      <c r="M66" s="104"/>
      <c r="N66" s="104"/>
      <c r="O66" s="104"/>
      <c r="P66" s="600"/>
      <c r="Q66" s="600"/>
      <c r="R66" s="600"/>
      <c r="S66" s="600"/>
      <c r="T66" s="600"/>
      <c r="U66" s="600"/>
      <c r="V66" s="600"/>
      <c r="W66" s="600"/>
      <c r="X66" s="600"/>
      <c r="Y66" s="600"/>
      <c r="Z66" s="600"/>
      <c r="AA66" s="600"/>
    </row>
    <row r="67" spans="1:27" x14ac:dyDescent="0.25">
      <c r="A67" s="476"/>
      <c r="B67" s="497"/>
      <c r="C67" s="476" t="s">
        <v>752</v>
      </c>
      <c r="D67" s="476" t="s">
        <v>1327</v>
      </c>
      <c r="E67" s="497" t="s">
        <v>1272</v>
      </c>
      <c r="F67" s="568">
        <v>0</v>
      </c>
      <c r="G67" s="568">
        <v>1</v>
      </c>
      <c r="H67" s="568"/>
      <c r="I67" s="568">
        <f>F67*G67*H56</f>
        <v>0</v>
      </c>
      <c r="J67" s="104"/>
      <c r="K67" s="104"/>
      <c r="L67" s="104"/>
      <c r="M67" s="104"/>
      <c r="N67" s="104"/>
      <c r="O67" s="104"/>
      <c r="P67" s="600"/>
      <c r="Q67" s="600"/>
      <c r="R67" s="600"/>
      <c r="S67" s="600"/>
      <c r="T67" s="600"/>
      <c r="U67" s="600"/>
      <c r="V67" s="600"/>
      <c r="W67" s="600"/>
      <c r="X67" s="600"/>
      <c r="Y67" s="600"/>
      <c r="Z67" s="600"/>
      <c r="AA67" s="600"/>
    </row>
    <row r="68" spans="1:27" x14ac:dyDescent="0.25">
      <c r="A68" s="476"/>
      <c r="B68" s="497"/>
      <c r="C68" s="476" t="s">
        <v>170</v>
      </c>
      <c r="D68" s="476" t="s">
        <v>554</v>
      </c>
      <c r="E68" s="497" t="s">
        <v>1272</v>
      </c>
      <c r="F68" s="568">
        <v>0</v>
      </c>
      <c r="G68" s="568">
        <v>1</v>
      </c>
      <c r="H68" s="568"/>
      <c r="I68" s="568">
        <f>F68*G68*H56</f>
        <v>0</v>
      </c>
      <c r="J68" s="104"/>
      <c r="K68" s="104"/>
      <c r="L68" s="104"/>
      <c r="M68" s="104"/>
      <c r="N68" s="104"/>
      <c r="O68" s="104"/>
      <c r="P68" s="600"/>
      <c r="Q68" s="600"/>
      <c r="R68" s="600"/>
      <c r="S68" s="600"/>
      <c r="T68" s="600"/>
      <c r="U68" s="600"/>
      <c r="V68" s="600"/>
      <c r="W68" s="600"/>
      <c r="X68" s="600"/>
      <c r="Y68" s="600"/>
      <c r="Z68" s="600"/>
      <c r="AA68" s="600"/>
    </row>
    <row r="69" spans="1:27" x14ac:dyDescent="0.25">
      <c r="A69" s="476"/>
      <c r="B69" s="497"/>
      <c r="C69" s="476" t="s">
        <v>1203</v>
      </c>
      <c r="D69" s="476" t="s">
        <v>395</v>
      </c>
      <c r="E69" s="497" t="s">
        <v>1272</v>
      </c>
      <c r="F69" s="568">
        <v>0.86856</v>
      </c>
      <c r="G69" s="568">
        <v>1</v>
      </c>
      <c r="H69" s="568"/>
      <c r="I69" s="568">
        <f>F69*G69*H56</f>
        <v>0.86856</v>
      </c>
      <c r="J69" s="104"/>
      <c r="K69" s="104"/>
      <c r="L69" s="104"/>
      <c r="M69" s="104"/>
      <c r="N69" s="104"/>
      <c r="O69" s="104"/>
      <c r="P69" s="600"/>
      <c r="Q69" s="600"/>
      <c r="R69" s="600"/>
      <c r="S69" s="600"/>
      <c r="T69" s="600"/>
      <c r="U69" s="600"/>
      <c r="V69" s="600"/>
      <c r="W69" s="600"/>
      <c r="X69" s="600"/>
      <c r="Y69" s="600"/>
      <c r="Z69" s="600"/>
      <c r="AA69" s="600"/>
    </row>
    <row r="70" spans="1:27" x14ac:dyDescent="0.25">
      <c r="A70" s="476"/>
      <c r="B70" s="497"/>
      <c r="C70" s="476" t="s">
        <v>402</v>
      </c>
      <c r="D70" s="476" t="s">
        <v>1459</v>
      </c>
      <c r="E70" s="497" t="s">
        <v>1272</v>
      </c>
      <c r="F70" s="568">
        <v>0.13</v>
      </c>
      <c r="G70" s="568">
        <v>1</v>
      </c>
      <c r="H70" s="568"/>
      <c r="I70" s="568">
        <f>F70*G70*H56</f>
        <v>0.13</v>
      </c>
      <c r="J70" s="104"/>
      <c r="K70" s="104"/>
      <c r="L70" s="104"/>
      <c r="M70" s="104"/>
      <c r="N70" s="104"/>
      <c r="O70" s="104"/>
      <c r="P70" s="600"/>
      <c r="Q70" s="600"/>
      <c r="R70" s="600"/>
      <c r="S70" s="600"/>
      <c r="T70" s="600"/>
      <c r="U70" s="600"/>
      <c r="V70" s="600"/>
      <c r="W70" s="600"/>
      <c r="X70" s="600"/>
      <c r="Y70" s="600"/>
      <c r="Z70" s="600"/>
      <c r="AA70" s="600"/>
    </row>
    <row r="71" spans="1:27" x14ac:dyDescent="0.25">
      <c r="A71" s="476"/>
      <c r="B71" s="497"/>
      <c r="C71" s="476" t="s">
        <v>752</v>
      </c>
      <c r="D71" s="476" t="s">
        <v>1327</v>
      </c>
      <c r="E71" s="497" t="s">
        <v>1272</v>
      </c>
      <c r="F71" s="568">
        <v>0</v>
      </c>
      <c r="G71" s="568">
        <v>1</v>
      </c>
      <c r="H71" s="568"/>
      <c r="I71" s="568">
        <f>F71*G71*H56</f>
        <v>0</v>
      </c>
      <c r="J71" s="104"/>
      <c r="K71" s="104"/>
      <c r="L71" s="104"/>
      <c r="M71" s="104"/>
      <c r="N71" s="104"/>
      <c r="O71" s="104"/>
      <c r="P71" s="600"/>
      <c r="Q71" s="600"/>
      <c r="R71" s="600"/>
      <c r="S71" s="600"/>
      <c r="T71" s="600"/>
      <c r="U71" s="600"/>
      <c r="V71" s="600"/>
      <c r="W71" s="600"/>
      <c r="X71" s="600"/>
      <c r="Y71" s="600"/>
      <c r="Z71" s="600"/>
      <c r="AA71" s="600"/>
    </row>
    <row r="72" spans="1:27" x14ac:dyDescent="0.25">
      <c r="A72" s="476"/>
      <c r="B72" s="497"/>
      <c r="C72" s="476" t="s">
        <v>170</v>
      </c>
      <c r="D72" s="476" t="s">
        <v>554</v>
      </c>
      <c r="E72" s="497" t="s">
        <v>1272</v>
      </c>
      <c r="F72" s="568">
        <v>0</v>
      </c>
      <c r="G72" s="568">
        <v>1</v>
      </c>
      <c r="H72" s="568"/>
      <c r="I72" s="568">
        <f>F72*G72*H56</f>
        <v>0</v>
      </c>
      <c r="J72" s="104"/>
      <c r="K72" s="104"/>
      <c r="L72" s="104"/>
      <c r="M72" s="104"/>
      <c r="N72" s="104"/>
      <c r="O72" s="104"/>
      <c r="P72" s="600"/>
      <c r="Q72" s="600"/>
      <c r="R72" s="600"/>
      <c r="S72" s="600"/>
      <c r="T72" s="600"/>
      <c r="U72" s="600"/>
      <c r="V72" s="600"/>
      <c r="W72" s="600"/>
      <c r="X72" s="600"/>
      <c r="Y72" s="600"/>
      <c r="Z72" s="600"/>
      <c r="AA72" s="600"/>
    </row>
    <row r="73" spans="1:27" x14ac:dyDescent="0.25">
      <c r="A73" s="765"/>
      <c r="B73" s="782">
        <v>4</v>
      </c>
      <c r="C73" s="765" t="s">
        <v>714</v>
      </c>
      <c r="D73" s="765" t="s">
        <v>405</v>
      </c>
      <c r="E73" s="782" t="s">
        <v>239</v>
      </c>
      <c r="F73" s="467"/>
      <c r="G73" s="467"/>
      <c r="H73" s="467">
        <v>1</v>
      </c>
      <c r="I73" s="467">
        <f>SUM(I74:I89)</f>
        <v>3.9942399999999996</v>
      </c>
      <c r="J73" s="398">
        <v>247858</v>
      </c>
      <c r="K73" s="398">
        <f>I73*J73</f>
        <v>990004.33791999985</v>
      </c>
      <c r="L73" s="398">
        <v>287664</v>
      </c>
      <c r="M73" s="398">
        <f>I73*L73</f>
        <v>1148999.0553599999</v>
      </c>
      <c r="N73" s="398">
        <f>L73-J73</f>
        <v>39806</v>
      </c>
      <c r="O73" s="398">
        <f>I73*N73</f>
        <v>158994.71743999998</v>
      </c>
      <c r="P73" s="600"/>
      <c r="Q73" s="600"/>
      <c r="R73" s="600"/>
      <c r="S73" s="600"/>
      <c r="T73" s="600"/>
      <c r="U73" s="600"/>
      <c r="V73" s="600"/>
      <c r="W73" s="600"/>
      <c r="X73" s="600"/>
      <c r="Y73" s="600"/>
      <c r="Z73" s="600"/>
      <c r="AA73" s="600"/>
    </row>
    <row r="74" spans="1:27" x14ac:dyDescent="0.25">
      <c r="A74" s="476"/>
      <c r="B74" s="497"/>
      <c r="C74" s="476" t="s">
        <v>1203</v>
      </c>
      <c r="D74" s="476" t="s">
        <v>395</v>
      </c>
      <c r="E74" s="497" t="s">
        <v>1272</v>
      </c>
      <c r="F74" s="568">
        <v>0.86856</v>
      </c>
      <c r="G74" s="568">
        <v>1</v>
      </c>
      <c r="H74" s="568"/>
      <c r="I74" s="568">
        <f>F74*G74*H73</f>
        <v>0.86856</v>
      </c>
      <c r="J74" s="104"/>
      <c r="K74" s="104"/>
      <c r="L74" s="104"/>
      <c r="M74" s="104"/>
      <c r="N74" s="104"/>
      <c r="O74" s="104"/>
      <c r="P74" s="600"/>
      <c r="Q74" s="600"/>
      <c r="R74" s="600"/>
      <c r="S74" s="600"/>
      <c r="T74" s="600"/>
      <c r="U74" s="600"/>
      <c r="V74" s="600"/>
      <c r="W74" s="600"/>
      <c r="X74" s="600"/>
      <c r="Y74" s="600"/>
      <c r="Z74" s="600"/>
      <c r="AA74" s="600"/>
    </row>
    <row r="75" spans="1:27" x14ac:dyDescent="0.25">
      <c r="A75" s="476"/>
      <c r="B75" s="497"/>
      <c r="C75" s="476" t="s">
        <v>402</v>
      </c>
      <c r="D75" s="476" t="s">
        <v>1459</v>
      </c>
      <c r="E75" s="497" t="s">
        <v>1272</v>
      </c>
      <c r="F75" s="568">
        <v>0.13</v>
      </c>
      <c r="G75" s="568">
        <v>1</v>
      </c>
      <c r="H75" s="568"/>
      <c r="I75" s="568">
        <f>F75*G75*H73</f>
        <v>0.13</v>
      </c>
      <c r="J75" s="104"/>
      <c r="K75" s="104"/>
      <c r="L75" s="104"/>
      <c r="M75" s="104"/>
      <c r="N75" s="104"/>
      <c r="O75" s="104"/>
      <c r="P75" s="600"/>
      <c r="Q75" s="600"/>
      <c r="R75" s="600"/>
      <c r="S75" s="600"/>
      <c r="T75" s="600"/>
      <c r="U75" s="600"/>
      <c r="V75" s="600"/>
      <c r="W75" s="600"/>
      <c r="X75" s="600"/>
      <c r="Y75" s="600"/>
      <c r="Z75" s="600"/>
      <c r="AA75" s="600"/>
    </row>
    <row r="76" spans="1:27" x14ac:dyDescent="0.25">
      <c r="A76" s="476"/>
      <c r="B76" s="497"/>
      <c r="C76" s="476" t="s">
        <v>752</v>
      </c>
      <c r="D76" s="476" t="s">
        <v>1327</v>
      </c>
      <c r="E76" s="497" t="s">
        <v>1272</v>
      </c>
      <c r="F76" s="568">
        <v>0</v>
      </c>
      <c r="G76" s="568">
        <v>1</v>
      </c>
      <c r="H76" s="568"/>
      <c r="I76" s="568">
        <f>F76*G76*H73</f>
        <v>0</v>
      </c>
      <c r="J76" s="104"/>
      <c r="K76" s="104"/>
      <c r="L76" s="104"/>
      <c r="M76" s="104"/>
      <c r="N76" s="104"/>
      <c r="O76" s="104"/>
      <c r="P76" s="600"/>
      <c r="Q76" s="600"/>
      <c r="R76" s="600"/>
      <c r="S76" s="600"/>
      <c r="T76" s="600"/>
      <c r="U76" s="600"/>
      <c r="V76" s="600"/>
      <c r="W76" s="600"/>
      <c r="X76" s="600"/>
      <c r="Y76" s="600"/>
      <c r="Z76" s="600"/>
      <c r="AA76" s="600"/>
    </row>
    <row r="77" spans="1:27" x14ac:dyDescent="0.25">
      <c r="A77" s="476"/>
      <c r="B77" s="497"/>
      <c r="C77" s="476" t="s">
        <v>170</v>
      </c>
      <c r="D77" s="476" t="s">
        <v>554</v>
      </c>
      <c r="E77" s="497" t="s">
        <v>1272</v>
      </c>
      <c r="F77" s="568">
        <v>0</v>
      </c>
      <c r="G77" s="568">
        <v>1</v>
      </c>
      <c r="H77" s="568"/>
      <c r="I77" s="568">
        <f>F77*G77*H73</f>
        <v>0</v>
      </c>
      <c r="J77" s="104"/>
      <c r="K77" s="104"/>
      <c r="L77" s="104"/>
      <c r="M77" s="104"/>
      <c r="N77" s="104"/>
      <c r="O77" s="104"/>
      <c r="P77" s="600"/>
      <c r="Q77" s="600"/>
      <c r="R77" s="600"/>
      <c r="S77" s="600"/>
      <c r="T77" s="600"/>
      <c r="U77" s="600"/>
      <c r="V77" s="600"/>
      <c r="W77" s="600"/>
      <c r="X77" s="600"/>
      <c r="Y77" s="600"/>
      <c r="Z77" s="600"/>
      <c r="AA77" s="600"/>
    </row>
    <row r="78" spans="1:27" x14ac:dyDescent="0.25">
      <c r="A78" s="476"/>
      <c r="B78" s="497"/>
      <c r="C78" s="476" t="s">
        <v>1203</v>
      </c>
      <c r="D78" s="476" t="s">
        <v>395</v>
      </c>
      <c r="E78" s="497" t="s">
        <v>1272</v>
      </c>
      <c r="F78" s="568">
        <v>0.86856</v>
      </c>
      <c r="G78" s="568">
        <v>1</v>
      </c>
      <c r="H78" s="568"/>
      <c r="I78" s="568">
        <f>F78*G78*H73</f>
        <v>0.86856</v>
      </c>
      <c r="J78" s="104"/>
      <c r="K78" s="104"/>
      <c r="L78" s="104"/>
      <c r="M78" s="104"/>
      <c r="N78" s="104"/>
      <c r="O78" s="104"/>
      <c r="P78" s="600"/>
      <c r="Q78" s="600"/>
      <c r="R78" s="600"/>
      <c r="S78" s="600"/>
      <c r="T78" s="600"/>
      <c r="U78" s="600"/>
      <c r="V78" s="600"/>
      <c r="W78" s="600"/>
      <c r="X78" s="600"/>
      <c r="Y78" s="600"/>
      <c r="Z78" s="600"/>
      <c r="AA78" s="600"/>
    </row>
    <row r="79" spans="1:27" x14ac:dyDescent="0.25">
      <c r="A79" s="476"/>
      <c r="B79" s="497"/>
      <c r="C79" s="476" t="s">
        <v>402</v>
      </c>
      <c r="D79" s="476" t="s">
        <v>1459</v>
      </c>
      <c r="E79" s="497" t="s">
        <v>1272</v>
      </c>
      <c r="F79" s="568">
        <v>0.13</v>
      </c>
      <c r="G79" s="568">
        <v>1</v>
      </c>
      <c r="H79" s="568"/>
      <c r="I79" s="568">
        <f>F79*G79*H73</f>
        <v>0.13</v>
      </c>
      <c r="J79" s="104"/>
      <c r="K79" s="104"/>
      <c r="L79" s="104"/>
      <c r="M79" s="104"/>
      <c r="N79" s="104"/>
      <c r="O79" s="104"/>
      <c r="P79" s="600"/>
      <c r="Q79" s="600"/>
      <c r="R79" s="600"/>
      <c r="S79" s="600"/>
      <c r="T79" s="600"/>
      <c r="U79" s="600"/>
      <c r="V79" s="600"/>
      <c r="W79" s="600"/>
      <c r="X79" s="600"/>
      <c r="Y79" s="600"/>
      <c r="Z79" s="600"/>
      <c r="AA79" s="600"/>
    </row>
    <row r="80" spans="1:27" x14ac:dyDescent="0.25">
      <c r="A80" s="476"/>
      <c r="B80" s="497"/>
      <c r="C80" s="476" t="s">
        <v>752</v>
      </c>
      <c r="D80" s="476" t="s">
        <v>1327</v>
      </c>
      <c r="E80" s="497" t="s">
        <v>1272</v>
      </c>
      <c r="F80" s="568">
        <v>0</v>
      </c>
      <c r="G80" s="568">
        <v>1</v>
      </c>
      <c r="H80" s="568"/>
      <c r="I80" s="568">
        <f>F80*G80*H73</f>
        <v>0</v>
      </c>
      <c r="J80" s="104"/>
      <c r="K80" s="104"/>
      <c r="L80" s="104"/>
      <c r="M80" s="104"/>
      <c r="N80" s="104"/>
      <c r="O80" s="104"/>
      <c r="P80" s="600"/>
      <c r="Q80" s="600"/>
      <c r="R80" s="600"/>
      <c r="S80" s="600"/>
      <c r="T80" s="600"/>
      <c r="U80" s="600"/>
      <c r="V80" s="600"/>
      <c r="W80" s="600"/>
      <c r="X80" s="600"/>
      <c r="Y80" s="600"/>
      <c r="Z80" s="600"/>
      <c r="AA80" s="600"/>
    </row>
    <row r="81" spans="1:27" x14ac:dyDescent="0.25">
      <c r="A81" s="476"/>
      <c r="B81" s="497"/>
      <c r="C81" s="476" t="s">
        <v>170</v>
      </c>
      <c r="D81" s="476" t="s">
        <v>554</v>
      </c>
      <c r="E81" s="497" t="s">
        <v>1272</v>
      </c>
      <c r="F81" s="568">
        <v>0</v>
      </c>
      <c r="G81" s="568">
        <v>1</v>
      </c>
      <c r="H81" s="568"/>
      <c r="I81" s="568">
        <f>F81*G81*H73</f>
        <v>0</v>
      </c>
      <c r="J81" s="104"/>
      <c r="K81" s="104"/>
      <c r="L81" s="104"/>
      <c r="M81" s="104"/>
      <c r="N81" s="104"/>
      <c r="O81" s="104"/>
      <c r="P81" s="600"/>
      <c r="Q81" s="600"/>
      <c r="R81" s="600"/>
      <c r="S81" s="600"/>
      <c r="T81" s="600"/>
      <c r="U81" s="600"/>
      <c r="V81" s="600"/>
      <c r="W81" s="600"/>
      <c r="X81" s="600"/>
      <c r="Y81" s="600"/>
      <c r="Z81" s="600"/>
      <c r="AA81" s="600"/>
    </row>
    <row r="82" spans="1:27" x14ac:dyDescent="0.25">
      <c r="A82" s="476"/>
      <c r="B82" s="497"/>
      <c r="C82" s="476" t="s">
        <v>1203</v>
      </c>
      <c r="D82" s="476" t="s">
        <v>395</v>
      </c>
      <c r="E82" s="497" t="s">
        <v>1272</v>
      </c>
      <c r="F82" s="568">
        <v>0.86856</v>
      </c>
      <c r="G82" s="568">
        <v>1</v>
      </c>
      <c r="H82" s="568"/>
      <c r="I82" s="568">
        <f>F82*G82*H73</f>
        <v>0.86856</v>
      </c>
      <c r="J82" s="104"/>
      <c r="K82" s="104"/>
      <c r="L82" s="104"/>
      <c r="M82" s="104"/>
      <c r="N82" s="104"/>
      <c r="O82" s="104"/>
      <c r="P82" s="600"/>
      <c r="Q82" s="600"/>
      <c r="R82" s="600"/>
      <c r="S82" s="600"/>
      <c r="T82" s="600"/>
      <c r="U82" s="600"/>
      <c r="V82" s="600"/>
      <c r="W82" s="600"/>
      <c r="X82" s="600"/>
      <c r="Y82" s="600"/>
      <c r="Z82" s="600"/>
      <c r="AA82" s="600"/>
    </row>
    <row r="83" spans="1:27" x14ac:dyDescent="0.25">
      <c r="A83" s="476"/>
      <c r="B83" s="497"/>
      <c r="C83" s="476" t="s">
        <v>402</v>
      </c>
      <c r="D83" s="476" t="s">
        <v>1459</v>
      </c>
      <c r="E83" s="497" t="s">
        <v>1272</v>
      </c>
      <c r="F83" s="568">
        <v>0.13</v>
      </c>
      <c r="G83" s="568">
        <v>1</v>
      </c>
      <c r="H83" s="568"/>
      <c r="I83" s="568">
        <f>F83*G83*H73</f>
        <v>0.13</v>
      </c>
      <c r="J83" s="104"/>
      <c r="K83" s="104"/>
      <c r="L83" s="104"/>
      <c r="M83" s="104"/>
      <c r="N83" s="104"/>
      <c r="O83" s="104"/>
      <c r="P83" s="600"/>
      <c r="Q83" s="600"/>
      <c r="R83" s="600"/>
      <c r="S83" s="600"/>
      <c r="T83" s="600"/>
      <c r="U83" s="600"/>
      <c r="V83" s="600"/>
      <c r="W83" s="600"/>
      <c r="X83" s="600"/>
      <c r="Y83" s="600"/>
      <c r="Z83" s="600"/>
      <c r="AA83" s="600"/>
    </row>
    <row r="84" spans="1:27" x14ac:dyDescent="0.25">
      <c r="A84" s="476"/>
      <c r="B84" s="497"/>
      <c r="C84" s="476" t="s">
        <v>752</v>
      </c>
      <c r="D84" s="476" t="s">
        <v>1327</v>
      </c>
      <c r="E84" s="497" t="s">
        <v>1272</v>
      </c>
      <c r="F84" s="568">
        <v>0</v>
      </c>
      <c r="G84" s="568">
        <v>1</v>
      </c>
      <c r="H84" s="568"/>
      <c r="I84" s="568">
        <f>F84*G84*H73</f>
        <v>0</v>
      </c>
      <c r="J84" s="104"/>
      <c r="K84" s="104"/>
      <c r="L84" s="104"/>
      <c r="M84" s="104"/>
      <c r="N84" s="104"/>
      <c r="O84" s="104"/>
      <c r="P84" s="600"/>
      <c r="Q84" s="600"/>
      <c r="R84" s="600"/>
      <c r="S84" s="600"/>
      <c r="T84" s="600"/>
      <c r="U84" s="600"/>
      <c r="V84" s="600"/>
      <c r="W84" s="600"/>
      <c r="X84" s="600"/>
      <c r="Y84" s="600"/>
      <c r="Z84" s="600"/>
      <c r="AA84" s="600"/>
    </row>
    <row r="85" spans="1:27" x14ac:dyDescent="0.25">
      <c r="A85" s="476"/>
      <c r="B85" s="497"/>
      <c r="C85" s="476" t="s">
        <v>170</v>
      </c>
      <c r="D85" s="476" t="s">
        <v>554</v>
      </c>
      <c r="E85" s="497" t="s">
        <v>1272</v>
      </c>
      <c r="F85" s="568">
        <v>0</v>
      </c>
      <c r="G85" s="568">
        <v>1</v>
      </c>
      <c r="H85" s="568"/>
      <c r="I85" s="568">
        <f>F85*G85*H73</f>
        <v>0</v>
      </c>
      <c r="J85" s="104"/>
      <c r="K85" s="104"/>
      <c r="L85" s="104"/>
      <c r="M85" s="104"/>
      <c r="N85" s="104"/>
      <c r="O85" s="104"/>
      <c r="P85" s="600"/>
      <c r="Q85" s="600"/>
      <c r="R85" s="600"/>
      <c r="S85" s="600"/>
      <c r="T85" s="600"/>
      <c r="U85" s="600"/>
      <c r="V85" s="600"/>
      <c r="W85" s="600"/>
      <c r="X85" s="600"/>
      <c r="Y85" s="600"/>
      <c r="Z85" s="600"/>
      <c r="AA85" s="600"/>
    </row>
    <row r="86" spans="1:27" x14ac:dyDescent="0.25">
      <c r="A86" s="476"/>
      <c r="B86" s="497"/>
      <c r="C86" s="476" t="s">
        <v>1203</v>
      </c>
      <c r="D86" s="476" t="s">
        <v>395</v>
      </c>
      <c r="E86" s="497" t="s">
        <v>1272</v>
      </c>
      <c r="F86" s="568">
        <v>0.86856</v>
      </c>
      <c r="G86" s="568">
        <v>1</v>
      </c>
      <c r="H86" s="568"/>
      <c r="I86" s="568">
        <f>F86*G86*H73</f>
        <v>0.86856</v>
      </c>
      <c r="J86" s="104"/>
      <c r="K86" s="104"/>
      <c r="L86" s="104"/>
      <c r="M86" s="104"/>
      <c r="N86" s="104"/>
      <c r="O86" s="104"/>
      <c r="P86" s="600"/>
      <c r="Q86" s="600"/>
      <c r="R86" s="600"/>
      <c r="S86" s="600"/>
      <c r="T86" s="600"/>
      <c r="U86" s="600"/>
      <c r="V86" s="600"/>
      <c r="W86" s="600"/>
      <c r="X86" s="600"/>
      <c r="Y86" s="600"/>
      <c r="Z86" s="600"/>
      <c r="AA86" s="600"/>
    </row>
    <row r="87" spans="1:27" x14ac:dyDescent="0.25">
      <c r="A87" s="476"/>
      <c r="B87" s="497"/>
      <c r="C87" s="476" t="s">
        <v>402</v>
      </c>
      <c r="D87" s="476" t="s">
        <v>1459</v>
      </c>
      <c r="E87" s="497" t="s">
        <v>1272</v>
      </c>
      <c r="F87" s="568">
        <v>0.13</v>
      </c>
      <c r="G87" s="568">
        <v>1</v>
      </c>
      <c r="H87" s="568"/>
      <c r="I87" s="568">
        <f>F87*G87*H73</f>
        <v>0.13</v>
      </c>
      <c r="J87" s="104"/>
      <c r="K87" s="104"/>
      <c r="L87" s="104"/>
      <c r="M87" s="104"/>
      <c r="N87" s="104"/>
      <c r="O87" s="104"/>
      <c r="P87" s="600"/>
      <c r="Q87" s="600"/>
      <c r="R87" s="600"/>
      <c r="S87" s="600"/>
      <c r="T87" s="600"/>
      <c r="U87" s="600"/>
      <c r="V87" s="600"/>
      <c r="W87" s="600"/>
      <c r="X87" s="600"/>
      <c r="Y87" s="600"/>
      <c r="Z87" s="600"/>
      <c r="AA87" s="600"/>
    </row>
    <row r="88" spans="1:27" x14ac:dyDescent="0.25">
      <c r="A88" s="476"/>
      <c r="B88" s="497"/>
      <c r="C88" s="476" t="s">
        <v>752</v>
      </c>
      <c r="D88" s="476" t="s">
        <v>1327</v>
      </c>
      <c r="E88" s="497" t="s">
        <v>1272</v>
      </c>
      <c r="F88" s="568">
        <v>0</v>
      </c>
      <c r="G88" s="568">
        <v>1</v>
      </c>
      <c r="H88" s="568"/>
      <c r="I88" s="568">
        <f>F88*G88*H73</f>
        <v>0</v>
      </c>
      <c r="J88" s="104"/>
      <c r="K88" s="104"/>
      <c r="L88" s="104"/>
      <c r="M88" s="104"/>
      <c r="N88" s="104"/>
      <c r="O88" s="104"/>
      <c r="P88" s="600"/>
      <c r="Q88" s="600"/>
      <c r="R88" s="600"/>
      <c r="S88" s="600"/>
      <c r="T88" s="600"/>
      <c r="U88" s="600"/>
      <c r="V88" s="600"/>
      <c r="W88" s="600"/>
      <c r="X88" s="600"/>
      <c r="Y88" s="600"/>
      <c r="Z88" s="600"/>
      <c r="AA88" s="600"/>
    </row>
    <row r="89" spans="1:27" x14ac:dyDescent="0.25">
      <c r="A89" s="476"/>
      <c r="B89" s="497"/>
      <c r="C89" s="476" t="s">
        <v>170</v>
      </c>
      <c r="D89" s="476" t="s">
        <v>554</v>
      </c>
      <c r="E89" s="497" t="s">
        <v>1272</v>
      </c>
      <c r="F89" s="568">
        <v>0</v>
      </c>
      <c r="G89" s="568">
        <v>1</v>
      </c>
      <c r="H89" s="568"/>
      <c r="I89" s="568">
        <f>F89*G89*H73</f>
        <v>0</v>
      </c>
      <c r="J89" s="104"/>
      <c r="K89" s="104"/>
      <c r="L89" s="104"/>
      <c r="M89" s="104"/>
      <c r="N89" s="104"/>
      <c r="O89" s="104"/>
      <c r="P89" s="600"/>
      <c r="Q89" s="600"/>
      <c r="R89" s="600"/>
      <c r="S89" s="600"/>
      <c r="T89" s="600"/>
      <c r="U89" s="600"/>
      <c r="V89" s="600"/>
      <c r="W89" s="600"/>
      <c r="X89" s="600"/>
      <c r="Y89" s="600"/>
      <c r="Z89" s="600"/>
      <c r="AA89" s="600"/>
    </row>
    <row r="90" spans="1:27" x14ac:dyDescent="0.25">
      <c r="A90" s="765"/>
      <c r="B90" s="782">
        <v>5</v>
      </c>
      <c r="C90" s="765" t="s">
        <v>514</v>
      </c>
      <c r="D90" s="765" t="s">
        <v>1153</v>
      </c>
      <c r="E90" s="782" t="s">
        <v>239</v>
      </c>
      <c r="F90" s="467"/>
      <c r="G90" s="467"/>
      <c r="H90" s="467">
        <v>1</v>
      </c>
      <c r="I90" s="467">
        <f>SUM(I91:I94)</f>
        <v>0</v>
      </c>
      <c r="J90" s="398">
        <v>0</v>
      </c>
      <c r="K90" s="398">
        <f>I90*J90</f>
        <v>0</v>
      </c>
      <c r="L90" s="398">
        <v>338224</v>
      </c>
      <c r="M90" s="398">
        <f>I90*L90</f>
        <v>0</v>
      </c>
      <c r="N90" s="398">
        <f>L90-J90</f>
        <v>338224</v>
      </c>
      <c r="O90" s="398">
        <f>I90*N90</f>
        <v>0</v>
      </c>
      <c r="P90" s="600"/>
      <c r="Q90" s="600"/>
      <c r="R90" s="600"/>
      <c r="S90" s="600"/>
      <c r="T90" s="600"/>
      <c r="U90" s="600"/>
      <c r="V90" s="600"/>
      <c r="W90" s="600"/>
      <c r="X90" s="600"/>
      <c r="Y90" s="600"/>
      <c r="Z90" s="600"/>
      <c r="AA90" s="600"/>
    </row>
    <row r="91" spans="1:27" x14ac:dyDescent="0.25">
      <c r="A91" s="476"/>
      <c r="B91" s="497"/>
      <c r="C91" s="476" t="s">
        <v>1247</v>
      </c>
      <c r="D91" s="476" t="s">
        <v>608</v>
      </c>
      <c r="E91" s="497" t="s">
        <v>1272</v>
      </c>
      <c r="F91" s="568">
        <v>0</v>
      </c>
      <c r="G91" s="568">
        <v>1</v>
      </c>
      <c r="H91" s="568"/>
      <c r="I91" s="568">
        <f>F91*G91*H90</f>
        <v>0</v>
      </c>
      <c r="J91" s="104"/>
      <c r="K91" s="104"/>
      <c r="L91" s="104"/>
      <c r="M91" s="104"/>
      <c r="N91" s="104"/>
      <c r="O91" s="104"/>
      <c r="P91" s="600"/>
      <c r="Q91" s="600"/>
      <c r="R91" s="600"/>
      <c r="S91" s="600"/>
      <c r="T91" s="600"/>
      <c r="U91" s="600"/>
      <c r="V91" s="600"/>
      <c r="W91" s="600"/>
      <c r="X91" s="600"/>
      <c r="Y91" s="600"/>
      <c r="Z91" s="600"/>
      <c r="AA91" s="600"/>
    </row>
    <row r="92" spans="1:27" x14ac:dyDescent="0.25">
      <c r="A92" s="476"/>
      <c r="B92" s="497"/>
      <c r="C92" s="476" t="s">
        <v>1247</v>
      </c>
      <c r="D92" s="476" t="s">
        <v>608</v>
      </c>
      <c r="E92" s="497" t="s">
        <v>1272</v>
      </c>
      <c r="F92" s="568">
        <v>0</v>
      </c>
      <c r="G92" s="568">
        <v>1</v>
      </c>
      <c r="H92" s="568"/>
      <c r="I92" s="568">
        <f>F92*G92*H90</f>
        <v>0</v>
      </c>
      <c r="J92" s="104"/>
      <c r="K92" s="104"/>
      <c r="L92" s="104"/>
      <c r="M92" s="104"/>
      <c r="N92" s="104"/>
      <c r="O92" s="104"/>
      <c r="P92" s="600"/>
      <c r="Q92" s="600"/>
      <c r="R92" s="600"/>
      <c r="S92" s="600"/>
      <c r="T92" s="600"/>
      <c r="U92" s="600"/>
      <c r="V92" s="600"/>
      <c r="W92" s="600"/>
      <c r="X92" s="600"/>
      <c r="Y92" s="600"/>
      <c r="Z92" s="600"/>
      <c r="AA92" s="600"/>
    </row>
    <row r="93" spans="1:27" x14ac:dyDescent="0.25">
      <c r="A93" s="476"/>
      <c r="B93" s="497"/>
      <c r="C93" s="476" t="s">
        <v>1247</v>
      </c>
      <c r="D93" s="476" t="s">
        <v>608</v>
      </c>
      <c r="E93" s="497" t="s">
        <v>1272</v>
      </c>
      <c r="F93" s="568">
        <v>0</v>
      </c>
      <c r="G93" s="568">
        <v>1</v>
      </c>
      <c r="H93" s="568"/>
      <c r="I93" s="568">
        <f>F93*G93*H90</f>
        <v>0</v>
      </c>
      <c r="J93" s="104"/>
      <c r="K93" s="104"/>
      <c r="L93" s="104"/>
      <c r="M93" s="104"/>
      <c r="N93" s="104"/>
      <c r="O93" s="104"/>
      <c r="P93" s="600"/>
      <c r="Q93" s="600"/>
      <c r="R93" s="600"/>
      <c r="S93" s="600"/>
      <c r="T93" s="600"/>
      <c r="U93" s="600"/>
      <c r="V93" s="600"/>
      <c r="W93" s="600"/>
      <c r="X93" s="600"/>
      <c r="Y93" s="600"/>
      <c r="Z93" s="600"/>
      <c r="AA93" s="600"/>
    </row>
    <row r="94" spans="1:27" x14ac:dyDescent="0.25">
      <c r="A94" s="476"/>
      <c r="B94" s="497"/>
      <c r="C94" s="476" t="s">
        <v>1247</v>
      </c>
      <c r="D94" s="476" t="s">
        <v>608</v>
      </c>
      <c r="E94" s="497" t="s">
        <v>1272</v>
      </c>
      <c r="F94" s="568">
        <v>0</v>
      </c>
      <c r="G94" s="568">
        <v>1</v>
      </c>
      <c r="H94" s="568"/>
      <c r="I94" s="568">
        <f>F94*G94*H90</f>
        <v>0</v>
      </c>
      <c r="J94" s="104"/>
      <c r="K94" s="104"/>
      <c r="L94" s="104"/>
      <c r="M94" s="104"/>
      <c r="N94" s="104"/>
      <c r="O94" s="104"/>
      <c r="P94" s="600"/>
      <c r="Q94" s="600"/>
      <c r="R94" s="600"/>
      <c r="S94" s="600"/>
      <c r="T94" s="600"/>
      <c r="U94" s="600"/>
      <c r="V94" s="600"/>
      <c r="W94" s="600"/>
      <c r="X94" s="600"/>
      <c r="Y94" s="600"/>
      <c r="Z94" s="600"/>
      <c r="AA94" s="600"/>
    </row>
    <row r="95" spans="1:27" x14ac:dyDescent="0.25">
      <c r="A95" s="765"/>
      <c r="B95" s="782">
        <v>6</v>
      </c>
      <c r="C95" s="765" t="s">
        <v>514</v>
      </c>
      <c r="D95" s="765" t="s">
        <v>1153</v>
      </c>
      <c r="E95" s="782" t="s">
        <v>239</v>
      </c>
      <c r="F95" s="467"/>
      <c r="G95" s="467"/>
      <c r="H95" s="467">
        <v>1</v>
      </c>
      <c r="I95" s="467">
        <f>SUM(I96:I99)</f>
        <v>0</v>
      </c>
      <c r="J95" s="398">
        <v>291421</v>
      </c>
      <c r="K95" s="398">
        <f>I95*J95</f>
        <v>0</v>
      </c>
      <c r="L95" s="398">
        <v>338224</v>
      </c>
      <c r="M95" s="398">
        <f>I95*L95</f>
        <v>0</v>
      </c>
      <c r="N95" s="398">
        <f>L95-J95</f>
        <v>46803</v>
      </c>
      <c r="O95" s="398">
        <f>I95*N95</f>
        <v>0</v>
      </c>
      <c r="P95" s="600"/>
      <c r="Q95" s="600"/>
      <c r="R95" s="600"/>
      <c r="S95" s="600"/>
      <c r="T95" s="600"/>
      <c r="U95" s="600"/>
      <c r="V95" s="600"/>
      <c r="W95" s="600"/>
      <c r="X95" s="600"/>
      <c r="Y95" s="600"/>
      <c r="Z95" s="600"/>
      <c r="AA95" s="600"/>
    </row>
    <row r="96" spans="1:27" x14ac:dyDescent="0.25">
      <c r="A96" s="476"/>
      <c r="B96" s="497"/>
      <c r="C96" s="476" t="s">
        <v>1247</v>
      </c>
      <c r="D96" s="476" t="s">
        <v>608</v>
      </c>
      <c r="E96" s="497" t="s">
        <v>1272</v>
      </c>
      <c r="F96" s="568">
        <v>0</v>
      </c>
      <c r="G96" s="568">
        <v>1</v>
      </c>
      <c r="H96" s="568"/>
      <c r="I96" s="568">
        <f>F96*G96*H95</f>
        <v>0</v>
      </c>
      <c r="J96" s="104"/>
      <c r="K96" s="104"/>
      <c r="L96" s="104"/>
      <c r="M96" s="104"/>
      <c r="N96" s="104"/>
      <c r="O96" s="104"/>
      <c r="P96" s="600"/>
      <c r="Q96" s="600"/>
      <c r="R96" s="600"/>
      <c r="S96" s="600"/>
      <c r="T96" s="600"/>
      <c r="U96" s="600"/>
      <c r="V96" s="600"/>
      <c r="W96" s="600"/>
      <c r="X96" s="600"/>
      <c r="Y96" s="600"/>
      <c r="Z96" s="600"/>
      <c r="AA96" s="600"/>
    </row>
    <row r="97" spans="1:27" x14ac:dyDescent="0.25">
      <c r="A97" s="476"/>
      <c r="B97" s="497"/>
      <c r="C97" s="476" t="s">
        <v>1247</v>
      </c>
      <c r="D97" s="476" t="s">
        <v>608</v>
      </c>
      <c r="E97" s="497" t="s">
        <v>1272</v>
      </c>
      <c r="F97" s="568">
        <v>0</v>
      </c>
      <c r="G97" s="568">
        <v>1</v>
      </c>
      <c r="H97" s="568"/>
      <c r="I97" s="568">
        <f>F97*G97*H95</f>
        <v>0</v>
      </c>
      <c r="J97" s="104"/>
      <c r="K97" s="104"/>
      <c r="L97" s="104"/>
      <c r="M97" s="104"/>
      <c r="N97" s="104"/>
      <c r="O97" s="104"/>
      <c r="P97" s="600"/>
      <c r="Q97" s="600"/>
      <c r="R97" s="600"/>
      <c r="S97" s="600"/>
      <c r="T97" s="600"/>
      <c r="U97" s="600"/>
      <c r="V97" s="600"/>
      <c r="W97" s="600"/>
      <c r="X97" s="600"/>
      <c r="Y97" s="600"/>
      <c r="Z97" s="600"/>
      <c r="AA97" s="600"/>
    </row>
    <row r="98" spans="1:27" x14ac:dyDescent="0.25">
      <c r="A98" s="476"/>
      <c r="B98" s="497"/>
      <c r="C98" s="476" t="s">
        <v>1247</v>
      </c>
      <c r="D98" s="476" t="s">
        <v>608</v>
      </c>
      <c r="E98" s="497" t="s">
        <v>1272</v>
      </c>
      <c r="F98" s="568">
        <v>0</v>
      </c>
      <c r="G98" s="568">
        <v>1</v>
      </c>
      <c r="H98" s="568"/>
      <c r="I98" s="568">
        <f>F98*G98*H95</f>
        <v>0</v>
      </c>
      <c r="J98" s="104"/>
      <c r="K98" s="104"/>
      <c r="L98" s="104"/>
      <c r="M98" s="104"/>
      <c r="N98" s="104"/>
      <c r="O98" s="104"/>
      <c r="P98" s="600"/>
      <c r="Q98" s="600"/>
      <c r="R98" s="600"/>
      <c r="S98" s="600"/>
      <c r="T98" s="600"/>
      <c r="U98" s="600"/>
      <c r="V98" s="600"/>
      <c r="W98" s="600"/>
      <c r="X98" s="600"/>
      <c r="Y98" s="600"/>
      <c r="Z98" s="600"/>
      <c r="AA98" s="600"/>
    </row>
    <row r="99" spans="1:27" x14ac:dyDescent="0.25">
      <c r="A99" s="476"/>
      <c r="B99" s="497"/>
      <c r="C99" s="476" t="s">
        <v>1247</v>
      </c>
      <c r="D99" s="476" t="s">
        <v>608</v>
      </c>
      <c r="E99" s="497" t="s">
        <v>1272</v>
      </c>
      <c r="F99" s="568">
        <v>0</v>
      </c>
      <c r="G99" s="568">
        <v>1</v>
      </c>
      <c r="H99" s="568"/>
      <c r="I99" s="568">
        <f>F99*G99*H95</f>
        <v>0</v>
      </c>
      <c r="J99" s="104"/>
      <c r="K99" s="104"/>
      <c r="L99" s="104"/>
      <c r="M99" s="104"/>
      <c r="N99" s="104"/>
      <c r="O99" s="104"/>
      <c r="P99" s="600"/>
      <c r="Q99" s="600"/>
      <c r="R99" s="600"/>
      <c r="S99" s="600"/>
      <c r="T99" s="600"/>
      <c r="U99" s="600"/>
      <c r="V99" s="600"/>
      <c r="W99" s="600"/>
      <c r="X99" s="600"/>
      <c r="Y99" s="600"/>
      <c r="Z99" s="600"/>
      <c r="AA99" s="600"/>
    </row>
    <row r="100" spans="1:27" x14ac:dyDescent="0.25">
      <c r="A100" s="765"/>
      <c r="B100" s="782">
        <v>7</v>
      </c>
      <c r="C100" s="765" t="s">
        <v>861</v>
      </c>
      <c r="D100" s="765" t="s">
        <v>1136</v>
      </c>
      <c r="E100" s="782" t="s">
        <v>239</v>
      </c>
      <c r="F100" s="467"/>
      <c r="G100" s="467"/>
      <c r="H100" s="467">
        <v>1</v>
      </c>
      <c r="I100" s="467">
        <f>SUM(I101:I104)</f>
        <v>0.42</v>
      </c>
      <c r="J100" s="398">
        <v>0</v>
      </c>
      <c r="K100" s="398">
        <f>I100*J100</f>
        <v>0</v>
      </c>
      <c r="L100" s="398">
        <v>314407</v>
      </c>
      <c r="M100" s="398">
        <f>I100*L100</f>
        <v>132050.94</v>
      </c>
      <c r="N100" s="398">
        <f>L100-J100</f>
        <v>314407</v>
      </c>
      <c r="O100" s="398">
        <f>I100*N100</f>
        <v>132050.94</v>
      </c>
      <c r="P100" s="600"/>
      <c r="Q100" s="600"/>
      <c r="R100" s="600"/>
      <c r="S100" s="600"/>
      <c r="T100" s="600"/>
      <c r="U100" s="600"/>
      <c r="V100" s="600"/>
      <c r="W100" s="600"/>
      <c r="X100" s="600"/>
      <c r="Y100" s="600"/>
      <c r="Z100" s="600"/>
      <c r="AA100" s="600"/>
    </row>
    <row r="101" spans="1:27" x14ac:dyDescent="0.25">
      <c r="A101" s="476"/>
      <c r="B101" s="497"/>
      <c r="C101" s="476" t="s">
        <v>1073</v>
      </c>
      <c r="D101" s="476" t="s">
        <v>328</v>
      </c>
      <c r="E101" s="497" t="s">
        <v>1272</v>
      </c>
      <c r="F101" s="568">
        <v>0.105</v>
      </c>
      <c r="G101" s="568">
        <v>1</v>
      </c>
      <c r="H101" s="568"/>
      <c r="I101" s="568">
        <f>F101*G101*H100</f>
        <v>0.105</v>
      </c>
      <c r="J101" s="104"/>
      <c r="K101" s="104"/>
      <c r="L101" s="104"/>
      <c r="M101" s="104"/>
      <c r="N101" s="104"/>
      <c r="O101" s="104"/>
      <c r="P101" s="600"/>
      <c r="Q101" s="600"/>
      <c r="R101" s="600"/>
      <c r="S101" s="600"/>
      <c r="T101" s="600"/>
      <c r="U101" s="600"/>
      <c r="V101" s="600"/>
      <c r="W101" s="600"/>
      <c r="X101" s="600"/>
      <c r="Y101" s="600"/>
      <c r="Z101" s="600"/>
      <c r="AA101" s="600"/>
    </row>
    <row r="102" spans="1:27" x14ac:dyDescent="0.25">
      <c r="A102" s="476"/>
      <c r="B102" s="497"/>
      <c r="C102" s="476" t="s">
        <v>1073</v>
      </c>
      <c r="D102" s="476" t="s">
        <v>328</v>
      </c>
      <c r="E102" s="497" t="s">
        <v>1272</v>
      </c>
      <c r="F102" s="568">
        <v>0.105</v>
      </c>
      <c r="G102" s="568">
        <v>1</v>
      </c>
      <c r="H102" s="568"/>
      <c r="I102" s="568">
        <f>F102*G102*H100</f>
        <v>0.105</v>
      </c>
      <c r="J102" s="104"/>
      <c r="K102" s="104"/>
      <c r="L102" s="104"/>
      <c r="M102" s="104"/>
      <c r="N102" s="104"/>
      <c r="O102" s="104"/>
      <c r="P102" s="600"/>
      <c r="Q102" s="600"/>
      <c r="R102" s="600"/>
      <c r="S102" s="600"/>
      <c r="T102" s="600"/>
      <c r="U102" s="600"/>
      <c r="V102" s="600"/>
      <c r="W102" s="600"/>
      <c r="X102" s="600"/>
      <c r="Y102" s="600"/>
      <c r="Z102" s="600"/>
      <c r="AA102" s="600"/>
    </row>
    <row r="103" spans="1:27" x14ac:dyDescent="0.25">
      <c r="A103" s="476"/>
      <c r="B103" s="497"/>
      <c r="C103" s="476" t="s">
        <v>1073</v>
      </c>
      <c r="D103" s="476" t="s">
        <v>328</v>
      </c>
      <c r="E103" s="497" t="s">
        <v>1272</v>
      </c>
      <c r="F103" s="568">
        <v>0.105</v>
      </c>
      <c r="G103" s="568">
        <v>1</v>
      </c>
      <c r="H103" s="568"/>
      <c r="I103" s="568">
        <f>F103*G103*H100</f>
        <v>0.105</v>
      </c>
      <c r="J103" s="104"/>
      <c r="K103" s="104"/>
      <c r="L103" s="104"/>
      <c r="M103" s="104"/>
      <c r="N103" s="104"/>
      <c r="O103" s="104"/>
      <c r="P103" s="600"/>
      <c r="Q103" s="600"/>
      <c r="R103" s="600"/>
      <c r="S103" s="600"/>
      <c r="T103" s="600"/>
      <c r="U103" s="600"/>
      <c r="V103" s="600"/>
      <c r="W103" s="600"/>
      <c r="X103" s="600"/>
      <c r="Y103" s="600"/>
      <c r="Z103" s="600"/>
      <c r="AA103" s="600"/>
    </row>
    <row r="104" spans="1:27" x14ac:dyDescent="0.25">
      <c r="A104" s="476"/>
      <c r="B104" s="497"/>
      <c r="C104" s="476" t="s">
        <v>1073</v>
      </c>
      <c r="D104" s="476" t="s">
        <v>328</v>
      </c>
      <c r="E104" s="497" t="s">
        <v>1272</v>
      </c>
      <c r="F104" s="568">
        <v>0.105</v>
      </c>
      <c r="G104" s="568">
        <v>1</v>
      </c>
      <c r="H104" s="568"/>
      <c r="I104" s="568">
        <f>F104*G104*H100</f>
        <v>0.105</v>
      </c>
      <c r="J104" s="104"/>
      <c r="K104" s="104"/>
      <c r="L104" s="104"/>
      <c r="M104" s="104"/>
      <c r="N104" s="104"/>
      <c r="O104" s="104"/>
      <c r="P104" s="600"/>
      <c r="Q104" s="600"/>
      <c r="R104" s="600"/>
      <c r="S104" s="600"/>
      <c r="T104" s="600"/>
      <c r="U104" s="600"/>
      <c r="V104" s="600"/>
      <c r="W104" s="600"/>
      <c r="X104" s="600"/>
      <c r="Y104" s="600"/>
      <c r="Z104" s="600"/>
      <c r="AA104" s="600"/>
    </row>
    <row r="105" spans="1:27" x14ac:dyDescent="0.25">
      <c r="A105" s="765"/>
      <c r="B105" s="782">
        <v>8</v>
      </c>
      <c r="C105" s="765" t="s">
        <v>861</v>
      </c>
      <c r="D105" s="765" t="s">
        <v>1136</v>
      </c>
      <c r="E105" s="782" t="s">
        <v>239</v>
      </c>
      <c r="F105" s="467"/>
      <c r="G105" s="467"/>
      <c r="H105" s="467">
        <v>1</v>
      </c>
      <c r="I105" s="467">
        <f>SUM(I106:I109)</f>
        <v>0.42</v>
      </c>
      <c r="J105" s="398">
        <v>270900</v>
      </c>
      <c r="K105" s="398">
        <f>I105*J105</f>
        <v>113778</v>
      </c>
      <c r="L105" s="398">
        <v>314407</v>
      </c>
      <c r="M105" s="398">
        <f>I105*L105</f>
        <v>132050.94</v>
      </c>
      <c r="N105" s="398">
        <f>L105-J105</f>
        <v>43507</v>
      </c>
      <c r="O105" s="398">
        <f>I105*N105</f>
        <v>18272.939999999999</v>
      </c>
      <c r="P105" s="600"/>
      <c r="Q105" s="600"/>
      <c r="R105" s="600"/>
      <c r="S105" s="600"/>
      <c r="T105" s="600"/>
      <c r="U105" s="600"/>
      <c r="V105" s="600"/>
      <c r="W105" s="600"/>
      <c r="X105" s="600"/>
      <c r="Y105" s="600"/>
      <c r="Z105" s="600"/>
      <c r="AA105" s="600"/>
    </row>
    <row r="106" spans="1:27" x14ac:dyDescent="0.25">
      <c r="A106" s="476"/>
      <c r="B106" s="497"/>
      <c r="C106" s="476" t="s">
        <v>1073</v>
      </c>
      <c r="D106" s="476" t="s">
        <v>328</v>
      </c>
      <c r="E106" s="497" t="s">
        <v>1272</v>
      </c>
      <c r="F106" s="568">
        <v>0.105</v>
      </c>
      <c r="G106" s="568">
        <v>1</v>
      </c>
      <c r="H106" s="568"/>
      <c r="I106" s="568">
        <f>F106*G106*H105</f>
        <v>0.105</v>
      </c>
      <c r="J106" s="104"/>
      <c r="K106" s="104"/>
      <c r="L106" s="104"/>
      <c r="M106" s="104"/>
      <c r="N106" s="104"/>
      <c r="O106" s="104"/>
      <c r="P106" s="600"/>
      <c r="Q106" s="600"/>
      <c r="R106" s="600"/>
      <c r="S106" s="600"/>
      <c r="T106" s="600"/>
      <c r="U106" s="600"/>
      <c r="V106" s="600"/>
      <c r="W106" s="600"/>
      <c r="X106" s="600"/>
      <c r="Y106" s="600"/>
      <c r="Z106" s="600"/>
      <c r="AA106" s="600"/>
    </row>
    <row r="107" spans="1:27" x14ac:dyDescent="0.25">
      <c r="A107" s="476"/>
      <c r="B107" s="497"/>
      <c r="C107" s="476" t="s">
        <v>1073</v>
      </c>
      <c r="D107" s="476" t="s">
        <v>328</v>
      </c>
      <c r="E107" s="497" t="s">
        <v>1272</v>
      </c>
      <c r="F107" s="568">
        <v>0.105</v>
      </c>
      <c r="G107" s="568">
        <v>1</v>
      </c>
      <c r="H107" s="568"/>
      <c r="I107" s="568">
        <f>F107*G107*H105</f>
        <v>0.105</v>
      </c>
      <c r="J107" s="104"/>
      <c r="K107" s="104"/>
      <c r="L107" s="104"/>
      <c r="M107" s="104"/>
      <c r="N107" s="104"/>
      <c r="O107" s="104"/>
      <c r="P107" s="600"/>
      <c r="Q107" s="600"/>
      <c r="R107" s="600"/>
      <c r="S107" s="600"/>
      <c r="T107" s="600"/>
      <c r="U107" s="600"/>
      <c r="V107" s="600"/>
      <c r="W107" s="600"/>
      <c r="X107" s="600"/>
      <c r="Y107" s="600"/>
      <c r="Z107" s="600"/>
      <c r="AA107" s="600"/>
    </row>
    <row r="108" spans="1:27" x14ac:dyDescent="0.25">
      <c r="A108" s="476"/>
      <c r="B108" s="497"/>
      <c r="C108" s="476" t="s">
        <v>1073</v>
      </c>
      <c r="D108" s="476" t="s">
        <v>328</v>
      </c>
      <c r="E108" s="497" t="s">
        <v>1272</v>
      </c>
      <c r="F108" s="568">
        <v>0.105</v>
      </c>
      <c r="G108" s="568">
        <v>1</v>
      </c>
      <c r="H108" s="568"/>
      <c r="I108" s="568">
        <f>F108*G108*H105</f>
        <v>0.105</v>
      </c>
      <c r="J108" s="104"/>
      <c r="K108" s="104"/>
      <c r="L108" s="104"/>
      <c r="M108" s="104"/>
      <c r="N108" s="104"/>
      <c r="O108" s="104"/>
      <c r="P108" s="600"/>
      <c r="Q108" s="600"/>
      <c r="R108" s="600"/>
      <c r="S108" s="600"/>
      <c r="T108" s="600"/>
      <c r="U108" s="600"/>
      <c r="V108" s="600"/>
      <c r="W108" s="600"/>
      <c r="X108" s="600"/>
      <c r="Y108" s="600"/>
      <c r="Z108" s="600"/>
      <c r="AA108" s="600"/>
    </row>
    <row r="109" spans="1:27" x14ac:dyDescent="0.25">
      <c r="A109" s="495"/>
      <c r="B109" s="523"/>
      <c r="C109" s="495" t="s">
        <v>1073</v>
      </c>
      <c r="D109" s="495" t="s">
        <v>328</v>
      </c>
      <c r="E109" s="523" t="s">
        <v>1272</v>
      </c>
      <c r="F109" s="202">
        <v>0.105</v>
      </c>
      <c r="G109" s="202">
        <v>1</v>
      </c>
      <c r="H109" s="202"/>
      <c r="I109" s="202">
        <f>F109*G109*H105</f>
        <v>0.105</v>
      </c>
      <c r="J109" s="127"/>
      <c r="K109" s="127"/>
      <c r="L109" s="127"/>
      <c r="M109" s="127"/>
      <c r="N109" s="127"/>
      <c r="O109" s="127"/>
      <c r="P109" s="600"/>
      <c r="Q109" s="600"/>
      <c r="R109" s="600"/>
      <c r="S109" s="600"/>
      <c r="T109" s="600"/>
      <c r="U109" s="600"/>
      <c r="V109" s="600"/>
      <c r="W109" s="600"/>
      <c r="X109" s="600"/>
      <c r="Y109" s="600"/>
      <c r="Z109" s="600"/>
      <c r="AA109" s="600"/>
    </row>
    <row r="110" spans="1:27" x14ac:dyDescent="0.25">
      <c r="A110" s="763"/>
      <c r="B110" s="1"/>
      <c r="C110" s="888"/>
      <c r="D110" s="888" t="s">
        <v>911</v>
      </c>
      <c r="E110" s="1"/>
      <c r="F110" s="609"/>
      <c r="G110" s="609"/>
      <c r="H110" s="609"/>
      <c r="I110" s="609">
        <v>0</v>
      </c>
      <c r="J110" s="530"/>
      <c r="K110" s="530">
        <f>SUM(K6:K109)</f>
        <v>97300951.757919997</v>
      </c>
      <c r="L110" s="530"/>
      <c r="M110" s="530">
        <f>SUM(M6:M109)</f>
        <v>225855337.11071998</v>
      </c>
      <c r="N110" s="530"/>
      <c r="O110" s="530">
        <f>SUM(O6:O109)</f>
        <v>128554385.3528</v>
      </c>
      <c r="P110" s="600"/>
      <c r="Q110" s="600"/>
      <c r="R110" s="600"/>
      <c r="S110" s="600"/>
      <c r="T110" s="600"/>
      <c r="U110" s="600"/>
      <c r="V110" s="600"/>
      <c r="W110" s="600"/>
      <c r="X110" s="600"/>
      <c r="Y110" s="600"/>
      <c r="Z110" s="600"/>
      <c r="AA110" s="600"/>
    </row>
    <row r="111" spans="1:27" x14ac:dyDescent="0.25">
      <c r="B111" s="600"/>
      <c r="C111" s="600"/>
      <c r="D111" s="600"/>
      <c r="E111" s="600"/>
      <c r="F111" s="600"/>
      <c r="G111" s="600"/>
      <c r="H111" s="600"/>
      <c r="I111" s="600"/>
      <c r="J111" s="600"/>
      <c r="K111" s="600"/>
      <c r="L111" s="600"/>
      <c r="M111" s="600"/>
      <c r="N111" s="600"/>
      <c r="O111" s="600"/>
      <c r="P111" s="600"/>
      <c r="Q111" s="600"/>
      <c r="R111" s="600"/>
      <c r="S111" s="600"/>
      <c r="T111" s="600"/>
      <c r="U111" s="600"/>
      <c r="V111" s="600"/>
      <c r="W111" s="600"/>
      <c r="X111" s="600"/>
      <c r="Y111" s="600"/>
      <c r="Z111" s="600"/>
      <c r="AA111" s="600"/>
    </row>
    <row r="112" spans="1:27" x14ac:dyDescent="0.25">
      <c r="B112" s="600"/>
      <c r="C112" s="600"/>
      <c r="D112" s="600"/>
      <c r="E112" s="600"/>
      <c r="F112" s="600"/>
      <c r="G112" s="600"/>
      <c r="H112" s="600"/>
      <c r="I112" s="600"/>
      <c r="J112" s="600"/>
      <c r="K112" s="600"/>
      <c r="L112" s="600"/>
      <c r="M112" s="600"/>
      <c r="N112" s="600"/>
      <c r="O112" s="600"/>
      <c r="P112" s="600"/>
      <c r="Q112" s="600"/>
      <c r="R112" s="600"/>
      <c r="S112" s="600"/>
      <c r="T112" s="600"/>
      <c r="U112" s="600"/>
      <c r="V112" s="600"/>
      <c r="W112" s="600"/>
      <c r="X112" s="600"/>
      <c r="Y112" s="600"/>
      <c r="Z112" s="600"/>
      <c r="AA112" s="600"/>
    </row>
  </sheetData>
  <mergeCells count="4">
    <mergeCell ref="A1:O1"/>
    <mergeCell ref="A2:O2"/>
    <mergeCell ref="A3:O3"/>
    <mergeCell ref="A4:O4"/>
  </mergeCells>
  <pageMargins left="0.75" right="0.75" top="0.79" bottom="0.79" header="0.3" footer="0.3"/>
  <pageSetup paperSize="9" scale="90" orientation="landscape" useFirstPageNumber="1" horizontalDpi="65532"/>
  <headerFooter>
    <oddFooter>&amp;CTrang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10"/>
  </sheetPr>
  <dimension ref="A1:AA27"/>
  <sheetViews>
    <sheetView showZeros="0" topLeftCell="B1" workbookViewId="0">
      <selection activeCell="C25" sqref="C25"/>
    </sheetView>
  </sheetViews>
  <sheetFormatPr defaultColWidth="9.140625" defaultRowHeight="15" x14ac:dyDescent="0.25"/>
  <cols>
    <col min="1" max="1" width="5.42578125" style="293" hidden="1" customWidth="1"/>
    <col min="2" max="2" width="9.7109375" style="293" customWidth="1"/>
    <col min="3" max="3" width="47.7109375" style="293" customWidth="1"/>
    <col min="4" max="4" width="12.7109375" style="293" customWidth="1"/>
    <col min="5" max="5" width="36.5703125" style="293" customWidth="1"/>
    <col min="6" max="6" width="19.42578125" style="293" customWidth="1"/>
    <col min="7" max="7" width="5.5703125" style="293" customWidth="1"/>
    <col min="8" max="8" width="5.42578125" style="293" bestFit="1" customWidth="1"/>
    <col min="9" max="9" width="5.140625" style="293" customWidth="1"/>
    <col min="10" max="16384" width="9.140625" style="293"/>
  </cols>
  <sheetData>
    <row r="1" spans="1:27" ht="18.75" x14ac:dyDescent="0.3">
      <c r="A1" s="1135" t="s">
        <v>1457</v>
      </c>
      <c r="B1" s="1135" t="s">
        <v>1457</v>
      </c>
      <c r="C1" s="1135" t="s">
        <v>1457</v>
      </c>
      <c r="D1" s="1135" t="s">
        <v>1457</v>
      </c>
      <c r="E1" s="1135" t="s">
        <v>1457</v>
      </c>
      <c r="F1" s="1135" t="s">
        <v>1457</v>
      </c>
      <c r="G1" s="464"/>
      <c r="H1" s="728" t="b">
        <f>ISERR(E6&amp;E7&amp;E8&amp;E9&amp;E10&amp;E11&amp;E12&amp;E13&amp;E14&amp;E15&amp;E16&amp;E17&amp;E18&amp;E19&amp;E20&amp;E21&amp;E22&amp;E23&amp;E24&amp;E25&amp;E26&amp;E27&amp;E28&amp;E29)</f>
        <v>0</v>
      </c>
      <c r="I1" s="464"/>
      <c r="J1" s="464"/>
    </row>
    <row r="2" spans="1:27" x14ac:dyDescent="0.25">
      <c r="A2" s="1136" t="s">
        <v>194</v>
      </c>
      <c r="B2" s="1136" t="s">
        <v>194</v>
      </c>
      <c r="C2" s="1136" t="s">
        <v>194</v>
      </c>
      <c r="D2" s="1136" t="s">
        <v>194</v>
      </c>
      <c r="E2" s="1136" t="s">
        <v>194</v>
      </c>
      <c r="F2" s="1136" t="s">
        <v>194</v>
      </c>
      <c r="G2" s="464"/>
      <c r="H2" s="464"/>
      <c r="I2" s="464"/>
      <c r="J2" s="464"/>
    </row>
    <row r="3" spans="1:27" x14ac:dyDescent="0.25">
      <c r="A3" s="1136" t="s">
        <v>914</v>
      </c>
      <c r="B3" s="1136" t="s">
        <v>914</v>
      </c>
      <c r="C3" s="1136" t="s">
        <v>914</v>
      </c>
      <c r="D3" s="1136" t="s">
        <v>914</v>
      </c>
      <c r="E3" s="1136" t="s">
        <v>914</v>
      </c>
      <c r="F3" s="1136" t="s">
        <v>914</v>
      </c>
      <c r="G3" s="464"/>
      <c r="H3" s="464"/>
      <c r="I3" s="464"/>
      <c r="J3" s="464"/>
    </row>
    <row r="4" spans="1:27" x14ac:dyDescent="0.25">
      <c r="A4" s="464"/>
      <c r="B4" s="647"/>
      <c r="C4" s="647"/>
      <c r="D4" s="647"/>
      <c r="E4" s="647"/>
      <c r="F4" s="647"/>
      <c r="G4" s="361"/>
      <c r="H4" s="361"/>
      <c r="I4" s="620" t="str">
        <f>IF(H1,"Xem hướng dẫn sửa lỗi #NAME tại: ","")</f>
        <v/>
      </c>
      <c r="J4" s="361"/>
      <c r="K4" s="107"/>
      <c r="L4" s="107"/>
      <c r="M4" s="107"/>
      <c r="N4" s="107"/>
      <c r="O4" s="107"/>
      <c r="P4" s="107"/>
      <c r="Q4" s="107"/>
      <c r="R4" s="107"/>
      <c r="S4" s="107"/>
      <c r="T4" s="107"/>
      <c r="U4" s="107"/>
      <c r="V4" s="107"/>
      <c r="W4" s="107"/>
      <c r="X4" s="107"/>
      <c r="Y4" s="107"/>
      <c r="Z4" s="107"/>
      <c r="AA4" s="107"/>
    </row>
    <row r="5" spans="1:27" ht="20.25" customHeight="1" x14ac:dyDescent="0.25">
      <c r="A5" s="27"/>
      <c r="B5" s="170" t="s">
        <v>1323</v>
      </c>
      <c r="C5" s="170" t="s">
        <v>610</v>
      </c>
      <c r="D5" s="170" t="s">
        <v>941</v>
      </c>
      <c r="E5" s="170" t="s">
        <v>426</v>
      </c>
      <c r="F5" s="170" t="s">
        <v>898</v>
      </c>
      <c r="G5" s="361"/>
      <c r="H5" s="361"/>
      <c r="I5" s="758" t="str">
        <f>IF(H1,"https://dutoaneta.vn/huong-dan-xu-ly-loi-name-khi-xuat-excel/","")</f>
        <v/>
      </c>
      <c r="J5" s="845"/>
      <c r="K5" s="107"/>
      <c r="L5" s="107"/>
      <c r="M5" s="107"/>
      <c r="N5" s="107"/>
      <c r="O5" s="107"/>
      <c r="P5" s="107"/>
      <c r="Q5" s="107"/>
      <c r="R5" s="107"/>
      <c r="S5" s="107"/>
      <c r="T5" s="107"/>
      <c r="U5" s="107"/>
      <c r="V5" s="107"/>
      <c r="W5" s="107"/>
      <c r="X5" s="107"/>
      <c r="Y5" s="107"/>
      <c r="Z5" s="107"/>
      <c r="AA5" s="107"/>
    </row>
    <row r="6" spans="1:27" x14ac:dyDescent="0.25">
      <c r="A6" s="895"/>
      <c r="B6" s="753">
        <v>1</v>
      </c>
      <c r="C6" s="283" t="s">
        <v>1372</v>
      </c>
      <c r="D6" s="753" t="s">
        <v>479</v>
      </c>
      <c r="E6" s="838" t="s">
        <v>503</v>
      </c>
      <c r="F6" s="358">
        <f>F7</f>
        <v>708365207.4338243</v>
      </c>
      <c r="G6" s="361"/>
      <c r="H6" s="361"/>
      <c r="I6" s="361"/>
      <c r="J6" s="361"/>
      <c r="K6" s="107"/>
      <c r="L6" s="107"/>
      <c r="M6" s="107"/>
      <c r="N6" s="107"/>
      <c r="O6" s="107"/>
      <c r="P6" s="107"/>
      <c r="Q6" s="107"/>
      <c r="R6" s="107"/>
      <c r="S6" s="107"/>
      <c r="T6" s="107"/>
      <c r="U6" s="107"/>
      <c r="V6" s="107"/>
      <c r="W6" s="107"/>
      <c r="X6" s="107"/>
      <c r="Y6" s="107"/>
      <c r="Z6" s="107"/>
      <c r="AA6" s="107"/>
    </row>
    <row r="7" spans="1:27" x14ac:dyDescent="0.25">
      <c r="A7" s="813"/>
      <c r="B7" s="870"/>
      <c r="C7" s="414" t="s">
        <v>288</v>
      </c>
      <c r="D7" s="870" t="s">
        <v>503</v>
      </c>
      <c r="E7" s="623" t="s">
        <v>147</v>
      </c>
      <c r="F7" s="484">
        <f>THVL!Y45</f>
        <v>708365207.4338243</v>
      </c>
      <c r="G7" s="361"/>
      <c r="H7" s="361"/>
      <c r="I7" s="361"/>
      <c r="J7" s="361"/>
      <c r="K7" s="107"/>
      <c r="L7" s="107"/>
      <c r="M7" s="107"/>
      <c r="N7" s="107"/>
      <c r="O7" s="107"/>
      <c r="P7" s="107"/>
      <c r="Q7" s="107"/>
      <c r="R7" s="107"/>
      <c r="S7" s="107"/>
      <c r="T7" s="107"/>
      <c r="U7" s="107"/>
      <c r="V7" s="107"/>
      <c r="W7" s="107"/>
      <c r="X7" s="107"/>
      <c r="Y7" s="107"/>
      <c r="Z7" s="107"/>
      <c r="AA7" s="107"/>
    </row>
    <row r="8" spans="1:27" x14ac:dyDescent="0.25">
      <c r="A8" s="813"/>
      <c r="B8" s="143">
        <v>2</v>
      </c>
      <c r="C8" s="589" t="s">
        <v>890</v>
      </c>
      <c r="D8" s="143" t="s">
        <v>125</v>
      </c>
      <c r="E8" s="773" t="s">
        <v>1227</v>
      </c>
      <c r="F8" s="270">
        <f>F10</f>
        <v>198995725.92345607</v>
      </c>
      <c r="G8" s="361"/>
      <c r="H8" s="361"/>
      <c r="I8" s="361"/>
      <c r="J8" s="361"/>
      <c r="K8" s="107"/>
      <c r="L8" s="107"/>
      <c r="M8" s="107"/>
      <c r="N8" s="107"/>
      <c r="O8" s="107"/>
      <c r="P8" s="107"/>
      <c r="Q8" s="107"/>
      <c r="R8" s="107"/>
      <c r="S8" s="107"/>
      <c r="T8" s="107"/>
      <c r="U8" s="107"/>
      <c r="V8" s="107"/>
      <c r="W8" s="107"/>
      <c r="X8" s="107"/>
      <c r="Y8" s="107"/>
      <c r="Z8" s="107"/>
      <c r="AA8" s="107"/>
    </row>
    <row r="9" spans="1:27" x14ac:dyDescent="0.25">
      <c r="A9" s="813"/>
      <c r="B9" s="870"/>
      <c r="C9" s="414" t="s">
        <v>390</v>
      </c>
      <c r="D9" s="870" t="s">
        <v>134</v>
      </c>
      <c r="E9" s="623" t="s">
        <v>1115</v>
      </c>
      <c r="F9" s="484">
        <f>THNC!Y29</f>
        <v>198995725.92345607</v>
      </c>
      <c r="G9" s="361"/>
      <c r="H9" s="361"/>
      <c r="I9" s="361"/>
      <c r="J9" s="361"/>
      <c r="K9" s="107"/>
      <c r="L9" s="107"/>
      <c r="M9" s="107"/>
      <c r="N9" s="107"/>
      <c r="O9" s="107"/>
      <c r="P9" s="107"/>
      <c r="Q9" s="107"/>
      <c r="R9" s="107"/>
      <c r="S9" s="107"/>
      <c r="T9" s="107"/>
      <c r="U9" s="107"/>
      <c r="V9" s="107"/>
      <c r="W9" s="107"/>
      <c r="X9" s="107"/>
      <c r="Y9" s="107"/>
      <c r="Z9" s="107"/>
      <c r="AA9" s="107"/>
    </row>
    <row r="10" spans="1:27" x14ac:dyDescent="0.25">
      <c r="A10" s="813"/>
      <c r="B10" s="870"/>
      <c r="C10" s="414" t="s">
        <v>523</v>
      </c>
      <c r="D10" s="870" t="s">
        <v>1227</v>
      </c>
      <c r="E10" s="623" t="s">
        <v>134</v>
      </c>
      <c r="F10" s="484">
        <f>F9*'Thông tin'!E69*'Thông tin'!E73*'Thông tin'!E74</f>
        <v>198995725.92345607</v>
      </c>
      <c r="G10" s="361"/>
      <c r="H10" s="361"/>
      <c r="I10" s="361"/>
      <c r="J10" s="361"/>
      <c r="K10" s="107"/>
      <c r="L10" s="107"/>
      <c r="M10" s="107"/>
      <c r="N10" s="107"/>
      <c r="O10" s="107"/>
      <c r="P10" s="107"/>
      <c r="Q10" s="107"/>
      <c r="R10" s="107"/>
      <c r="S10" s="107"/>
      <c r="T10" s="107"/>
      <c r="U10" s="107"/>
      <c r="V10" s="107"/>
      <c r="W10" s="107"/>
      <c r="X10" s="107"/>
      <c r="Y10" s="107"/>
      <c r="Z10" s="107"/>
      <c r="AA10" s="107"/>
    </row>
    <row r="11" spans="1:27" x14ac:dyDescent="0.25">
      <c r="A11" s="813"/>
      <c r="B11" s="143">
        <v>3</v>
      </c>
      <c r="C11" s="589" t="s">
        <v>556</v>
      </c>
      <c r="D11" s="143" t="s">
        <v>539</v>
      </c>
      <c r="E11" s="773" t="s">
        <v>943</v>
      </c>
      <c r="F11" s="270">
        <f>F13</f>
        <v>79646596.130557597</v>
      </c>
      <c r="G11" s="361"/>
      <c r="H11" s="361"/>
      <c r="I11" s="361"/>
      <c r="J11" s="361"/>
      <c r="K11" s="107"/>
      <c r="L11" s="107"/>
      <c r="M11" s="107"/>
      <c r="N11" s="107"/>
      <c r="O11" s="107"/>
      <c r="P11" s="107"/>
      <c r="Q11" s="107"/>
      <c r="R11" s="107"/>
      <c r="S11" s="107"/>
      <c r="T11" s="107"/>
      <c r="U11" s="107"/>
      <c r="V11" s="107"/>
      <c r="W11" s="107"/>
      <c r="X11" s="107"/>
      <c r="Y11" s="107"/>
      <c r="Z11" s="107"/>
      <c r="AA11" s="107"/>
    </row>
    <row r="12" spans="1:27" x14ac:dyDescent="0.25">
      <c r="A12" s="813"/>
      <c r="B12" s="870"/>
      <c r="C12" s="414" t="s">
        <v>719</v>
      </c>
      <c r="D12" s="870" t="s">
        <v>1244</v>
      </c>
      <c r="E12" s="623" t="s">
        <v>323</v>
      </c>
      <c r="F12" s="484">
        <f>THM!Y50</f>
        <v>79646596.130557597</v>
      </c>
      <c r="G12" s="361"/>
      <c r="H12" s="361"/>
      <c r="I12" s="620" t="str">
        <f>IF(ISERR(E12),"Xem hướng dẫn sửa lỗi #NAME: ","")</f>
        <v/>
      </c>
      <c r="J12" s="845" t="str">
        <f>IF(ISERR(E12),"https://dutoaneta.vn/huong-dan-xu-ly-loi-name-khi-xuat-excel/","")</f>
        <v/>
      </c>
      <c r="K12" s="107"/>
      <c r="L12" s="107"/>
      <c r="M12" s="107"/>
      <c r="N12" s="107"/>
      <c r="O12" s="107"/>
      <c r="P12" s="107"/>
      <c r="Q12" s="107"/>
      <c r="R12" s="107"/>
      <c r="S12" s="107"/>
      <c r="T12" s="107"/>
      <c r="U12" s="107"/>
      <c r="V12" s="107"/>
      <c r="W12" s="107"/>
      <c r="X12" s="107"/>
      <c r="Y12" s="107"/>
      <c r="Z12" s="107"/>
      <c r="AA12" s="107"/>
    </row>
    <row r="13" spans="1:27" x14ac:dyDescent="0.25">
      <c r="A13" s="813"/>
      <c r="B13" s="870"/>
      <c r="C13" s="414" t="s">
        <v>523</v>
      </c>
      <c r="D13" s="870" t="s">
        <v>943</v>
      </c>
      <c r="E13" s="623" t="s">
        <v>1244</v>
      </c>
      <c r="F13" s="484">
        <f>F12*'Thông tin'!E62*'Thông tin'!E70*'Thông tin'!E71</f>
        <v>79646596.130557597</v>
      </c>
      <c r="G13" s="361"/>
      <c r="H13" s="361"/>
      <c r="I13" s="845"/>
      <c r="J13" s="361"/>
      <c r="K13" s="107"/>
      <c r="L13" s="107"/>
      <c r="M13" s="107"/>
      <c r="N13" s="107"/>
      <c r="O13" s="107"/>
      <c r="P13" s="107"/>
      <c r="Q13" s="107"/>
      <c r="R13" s="107"/>
      <c r="S13" s="107"/>
      <c r="T13" s="107"/>
      <c r="U13" s="107"/>
      <c r="V13" s="107"/>
      <c r="W13" s="107"/>
      <c r="X13" s="107"/>
      <c r="Y13" s="107"/>
      <c r="Z13" s="107"/>
      <c r="AA13" s="107"/>
    </row>
    <row r="14" spans="1:27" x14ac:dyDescent="0.25">
      <c r="A14" s="813"/>
      <c r="B14" s="870" t="s">
        <v>915</v>
      </c>
      <c r="C14" s="414" t="s">
        <v>1211</v>
      </c>
      <c r="D14" s="870" t="s">
        <v>969</v>
      </c>
      <c r="E14" s="623" t="s">
        <v>1324</v>
      </c>
      <c r="F14" s="484">
        <f>F6 + F8 + F11</f>
        <v>987007529.48783803</v>
      </c>
      <c r="G14" s="361"/>
      <c r="H14" s="361"/>
      <c r="I14" s="361"/>
      <c r="J14" s="361"/>
      <c r="K14" s="107"/>
      <c r="L14" s="107"/>
      <c r="M14" s="107"/>
      <c r="N14" s="107"/>
      <c r="O14" s="107"/>
      <c r="P14" s="107"/>
      <c r="Q14" s="107"/>
      <c r="R14" s="107"/>
      <c r="S14" s="107"/>
      <c r="T14" s="107"/>
      <c r="U14" s="107"/>
      <c r="V14" s="107"/>
      <c r="W14" s="107"/>
      <c r="X14" s="107"/>
      <c r="Y14" s="107"/>
      <c r="Z14" s="107"/>
      <c r="AA14" s="107"/>
    </row>
    <row r="15" spans="1:27" x14ac:dyDescent="0.25">
      <c r="A15" s="813"/>
      <c r="B15" s="870" t="s">
        <v>587</v>
      </c>
      <c r="C15" s="414" t="s">
        <v>187</v>
      </c>
      <c r="D15" s="870"/>
      <c r="E15" s="623"/>
      <c r="F15" s="484">
        <v>0</v>
      </c>
      <c r="G15" s="361"/>
      <c r="H15" s="361"/>
      <c r="I15" s="361"/>
      <c r="J15" s="361"/>
      <c r="K15" s="107"/>
      <c r="L15" s="107"/>
      <c r="M15" s="107"/>
      <c r="N15" s="107"/>
      <c r="O15" s="107"/>
      <c r="P15" s="107"/>
      <c r="Q15" s="107"/>
      <c r="R15" s="107"/>
      <c r="S15" s="107"/>
      <c r="T15" s="107"/>
      <c r="U15" s="107"/>
      <c r="V15" s="107"/>
      <c r="W15" s="107"/>
      <c r="X15" s="107"/>
      <c r="Y15" s="107"/>
      <c r="Z15" s="107"/>
      <c r="AA15" s="107"/>
    </row>
    <row r="16" spans="1:27" x14ac:dyDescent="0.25">
      <c r="A16" s="813"/>
      <c r="B16" s="870">
        <v>1</v>
      </c>
      <c r="C16" s="414" t="s">
        <v>581</v>
      </c>
      <c r="D16" s="870" t="s">
        <v>892</v>
      </c>
      <c r="E16" s="623" t="s">
        <v>188</v>
      </c>
      <c r="F16" s="484">
        <f>F14*'Thông tin'!E67</f>
        <v>61194466.82824596</v>
      </c>
      <c r="G16" s="361"/>
      <c r="H16" s="361"/>
      <c r="I16" s="361"/>
      <c r="J16" s="361"/>
      <c r="K16" s="107"/>
      <c r="L16" s="107"/>
      <c r="M16" s="107"/>
      <c r="N16" s="107"/>
      <c r="O16" s="107"/>
      <c r="P16" s="107"/>
      <c r="Q16" s="107"/>
      <c r="R16" s="107"/>
      <c r="S16" s="107"/>
      <c r="T16" s="107"/>
      <c r="U16" s="107"/>
      <c r="V16" s="107"/>
      <c r="W16" s="107"/>
      <c r="X16" s="107"/>
      <c r="Y16" s="107"/>
      <c r="Z16" s="107"/>
      <c r="AA16" s="107"/>
    </row>
    <row r="17" spans="1:27" x14ac:dyDescent="0.25">
      <c r="A17" s="813"/>
      <c r="B17" s="870">
        <v>2</v>
      </c>
      <c r="C17" s="414" t="s">
        <v>634</v>
      </c>
      <c r="D17" s="870" t="s">
        <v>997</v>
      </c>
      <c r="E17" s="623" t="s">
        <v>855</v>
      </c>
      <c r="F17" s="484">
        <f xml:space="preserve"> F14*'Thông tin'!E60</f>
        <v>10857082.824366219</v>
      </c>
      <c r="G17" s="361"/>
      <c r="H17" s="361"/>
      <c r="I17" s="361"/>
      <c r="J17" s="361"/>
      <c r="K17" s="107"/>
      <c r="L17" s="107"/>
      <c r="M17" s="107"/>
      <c r="N17" s="107"/>
      <c r="O17" s="107"/>
      <c r="P17" s="107"/>
      <c r="Q17" s="107"/>
      <c r="R17" s="107"/>
      <c r="S17" s="107"/>
      <c r="T17" s="107"/>
      <c r="U17" s="107"/>
      <c r="V17" s="107"/>
      <c r="W17" s="107"/>
      <c r="X17" s="107"/>
      <c r="Y17" s="107"/>
      <c r="Z17" s="107"/>
      <c r="AA17" s="107"/>
    </row>
    <row r="18" spans="1:27" ht="30" x14ac:dyDescent="0.25">
      <c r="A18" s="813"/>
      <c r="B18" s="870">
        <v>3</v>
      </c>
      <c r="C18" s="414" t="s">
        <v>51</v>
      </c>
      <c r="D18" s="870" t="s">
        <v>172</v>
      </c>
      <c r="E18" s="623" t="s">
        <v>211</v>
      </c>
      <c r="F18" s="484">
        <f>F14*'Thông tin'!E65</f>
        <v>19740150.589756761</v>
      </c>
      <c r="G18" s="361"/>
      <c r="H18" s="361"/>
      <c r="I18" s="361"/>
      <c r="J18" s="361"/>
      <c r="K18" s="107"/>
      <c r="L18" s="107"/>
      <c r="M18" s="107"/>
      <c r="N18" s="107"/>
      <c r="O18" s="107"/>
      <c r="P18" s="107"/>
      <c r="Q18" s="107"/>
      <c r="R18" s="107"/>
      <c r="S18" s="107"/>
      <c r="T18" s="107"/>
      <c r="U18" s="107"/>
      <c r="V18" s="107"/>
      <c r="W18" s="107"/>
      <c r="X18" s="107"/>
      <c r="Y18" s="107"/>
      <c r="Z18" s="107"/>
      <c r="AA18" s="107"/>
    </row>
    <row r="19" spans="1:27" x14ac:dyDescent="0.25">
      <c r="A19" s="813"/>
      <c r="B19" s="870"/>
      <c r="C19" s="414" t="s">
        <v>4</v>
      </c>
      <c r="D19" s="870" t="s">
        <v>1074</v>
      </c>
      <c r="E19" s="623" t="s">
        <v>944</v>
      </c>
      <c r="F19" s="484">
        <f>F16 + F17 + F18</f>
        <v>91791700.242368937</v>
      </c>
      <c r="G19" s="361"/>
      <c r="H19" s="361"/>
      <c r="I19" s="361"/>
      <c r="J19" s="361"/>
      <c r="K19" s="107"/>
      <c r="L19" s="107"/>
      <c r="M19" s="107"/>
      <c r="N19" s="107"/>
      <c r="O19" s="107"/>
      <c r="P19" s="107"/>
      <c r="Q19" s="107"/>
      <c r="R19" s="107"/>
      <c r="S19" s="107"/>
      <c r="T19" s="107"/>
      <c r="U19" s="107"/>
      <c r="V19" s="107"/>
      <c r="W19" s="107"/>
      <c r="X19" s="107"/>
      <c r="Y19" s="107"/>
      <c r="Z19" s="107"/>
      <c r="AA19" s="107"/>
    </row>
    <row r="20" spans="1:27" x14ac:dyDescent="0.25">
      <c r="A20" s="813"/>
      <c r="B20" s="870" t="s">
        <v>1219</v>
      </c>
      <c r="C20" s="414" t="s">
        <v>926</v>
      </c>
      <c r="D20" s="870" t="s">
        <v>877</v>
      </c>
      <c r="E20" s="623" t="s">
        <v>925</v>
      </c>
      <c r="F20" s="484">
        <f>(F14 + F19 )*'Thông tin'!E63</f>
        <v>64727953.783812419</v>
      </c>
      <c r="G20" s="361"/>
      <c r="H20" s="361"/>
      <c r="I20" s="361"/>
      <c r="J20" s="361"/>
      <c r="K20" s="107"/>
      <c r="L20" s="107"/>
      <c r="M20" s="107"/>
      <c r="N20" s="107"/>
      <c r="O20" s="107"/>
      <c r="P20" s="107"/>
      <c r="Q20" s="107"/>
      <c r="R20" s="107"/>
      <c r="S20" s="107"/>
      <c r="T20" s="107"/>
      <c r="U20" s="107"/>
      <c r="V20" s="107"/>
      <c r="W20" s="107"/>
      <c r="X20" s="107"/>
      <c r="Y20" s="107"/>
      <c r="Z20" s="107"/>
      <c r="AA20" s="107"/>
    </row>
    <row r="21" spans="1:27" x14ac:dyDescent="0.25">
      <c r="A21" s="813"/>
      <c r="B21" s="143"/>
      <c r="C21" s="589" t="s">
        <v>699</v>
      </c>
      <c r="D21" s="143" t="s">
        <v>516</v>
      </c>
      <c r="E21" s="773" t="s">
        <v>1297</v>
      </c>
      <c r="F21" s="270">
        <f>F14 + F19 + F20</f>
        <v>1143527183.5140195</v>
      </c>
      <c r="G21" s="361"/>
      <c r="H21" s="361"/>
      <c r="I21" s="361"/>
      <c r="J21" s="361"/>
      <c r="K21" s="107"/>
      <c r="L21" s="107"/>
      <c r="M21" s="107"/>
      <c r="N21" s="107"/>
      <c r="O21" s="107"/>
      <c r="P21" s="107"/>
      <c r="Q21" s="107"/>
      <c r="R21" s="107"/>
      <c r="S21" s="107"/>
      <c r="T21" s="107"/>
      <c r="U21" s="107"/>
      <c r="V21" s="107"/>
      <c r="W21" s="107"/>
      <c r="X21" s="107"/>
      <c r="Y21" s="107"/>
      <c r="Z21" s="107"/>
      <c r="AA21" s="107"/>
    </row>
    <row r="22" spans="1:27" x14ac:dyDescent="0.25">
      <c r="A22" s="813"/>
      <c r="B22" s="870" t="s">
        <v>1070</v>
      </c>
      <c r="C22" s="414" t="s">
        <v>1117</v>
      </c>
      <c r="D22" s="870" t="s">
        <v>447</v>
      </c>
      <c r="E22" s="623" t="s">
        <v>986</v>
      </c>
      <c r="F22" s="484">
        <f>F21*'Thông tin'!E61</f>
        <v>91482174.681121558</v>
      </c>
      <c r="G22" s="361"/>
      <c r="H22" s="361"/>
      <c r="I22" s="361"/>
      <c r="J22" s="361"/>
      <c r="K22" s="107"/>
      <c r="L22" s="107"/>
      <c r="M22" s="107"/>
      <c r="N22" s="107"/>
      <c r="O22" s="107"/>
      <c r="P22" s="107"/>
      <c r="Q22" s="107"/>
      <c r="R22" s="107"/>
      <c r="S22" s="107"/>
      <c r="T22" s="107"/>
      <c r="U22" s="107"/>
      <c r="V22" s="107"/>
      <c r="W22" s="107"/>
      <c r="X22" s="107"/>
      <c r="Y22" s="107"/>
      <c r="Z22" s="107"/>
      <c r="AA22" s="107"/>
    </row>
    <row r="23" spans="1:27" x14ac:dyDescent="0.25">
      <c r="A23" s="813"/>
      <c r="B23" s="870"/>
      <c r="C23" s="589" t="s">
        <v>1316</v>
      </c>
      <c r="D23" s="143" t="s">
        <v>927</v>
      </c>
      <c r="E23" s="773" t="s">
        <v>160</v>
      </c>
      <c r="F23" s="854">
        <f>F21 + F22</f>
        <v>1235009358.1951411</v>
      </c>
      <c r="G23" s="361"/>
      <c r="H23" s="361"/>
      <c r="I23" s="361"/>
      <c r="J23" s="361"/>
      <c r="K23" s="107"/>
      <c r="L23" s="107"/>
      <c r="M23" s="107"/>
      <c r="N23" s="107"/>
      <c r="O23" s="107"/>
      <c r="P23" s="107"/>
      <c r="Q23" s="107"/>
      <c r="R23" s="107"/>
      <c r="S23" s="107"/>
      <c r="T23" s="107"/>
      <c r="U23" s="107"/>
      <c r="V23" s="107"/>
      <c r="W23" s="107"/>
      <c r="X23" s="107"/>
      <c r="Y23" s="107"/>
      <c r="Z23" s="107"/>
      <c r="AA23" s="107"/>
    </row>
    <row r="24" spans="1:27" x14ac:dyDescent="0.25">
      <c r="A24" s="802"/>
      <c r="B24" s="1137" t="s">
        <v>375</v>
      </c>
      <c r="C24" s="1138" t="s">
        <v>375</v>
      </c>
      <c r="D24" s="1137" t="s">
        <v>375</v>
      </c>
      <c r="E24" s="1139" t="s">
        <v>375</v>
      </c>
      <c r="F24" s="1140" t="s">
        <v>375</v>
      </c>
      <c r="G24" s="361"/>
      <c r="H24" s="361"/>
      <c r="I24" s="361"/>
      <c r="J24" s="361"/>
      <c r="K24" s="107"/>
      <c r="L24" s="107"/>
      <c r="M24" s="107"/>
      <c r="N24" s="107"/>
      <c r="O24" s="107"/>
      <c r="P24" s="107"/>
      <c r="Q24" s="107"/>
      <c r="R24" s="107"/>
      <c r="S24" s="107"/>
      <c r="T24" s="107"/>
      <c r="U24" s="107"/>
      <c r="V24" s="107"/>
      <c r="W24" s="107"/>
      <c r="X24" s="107"/>
      <c r="Y24" s="107"/>
      <c r="Z24" s="107"/>
      <c r="AA24" s="107"/>
    </row>
    <row r="25" spans="1:27" x14ac:dyDescent="0.25">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row>
    <row r="26" spans="1:27" x14ac:dyDescent="0.25">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row>
    <row r="27" spans="1:27" x14ac:dyDescent="0.25">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row>
  </sheetData>
  <mergeCells count="4">
    <mergeCell ref="A1:F1"/>
    <mergeCell ref="A2:F2"/>
    <mergeCell ref="A3:F3"/>
    <mergeCell ref="B24:F24"/>
  </mergeCells>
  <hyperlinks>
    <hyperlink ref="J12" r:id="rId1" display="https://dutoaneta.vn/huong-dan-xu-ly-loi-name-khi-xuat-excel/" xr:uid="{00000000-0004-0000-1100-000000000000}"/>
    <hyperlink ref="I5" r:id="rId2" display="https://dutoaneta.vn/huong-dan-xu-ly-loi-name-khi-xuat-excel/" xr:uid="{00000000-0004-0000-1100-000001000000}"/>
  </hyperlinks>
  <pageMargins left="0.75" right="0.75" top="0.79" bottom="0.79" header="0.3" footer="0.3"/>
  <pageSetup paperSize="9" orientation="landscape" useFirstPageNumber="1" horizontalDpi="65532"/>
  <headerFooter>
    <oddFooter>&amp;CTrang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74"/>
  <sheetViews>
    <sheetView showGridLines="0" showZeros="0" workbookViewId="0">
      <selection activeCell="G53" sqref="G53"/>
    </sheetView>
  </sheetViews>
  <sheetFormatPr defaultRowHeight="15" x14ac:dyDescent="0.25"/>
  <cols>
    <col min="1" max="1" width="7.42578125" customWidth="1"/>
    <col min="2" max="2" width="57.42578125" customWidth="1"/>
    <col min="3" max="3" width="11" customWidth="1"/>
    <col min="4" max="4" width="4.28515625" customWidth="1"/>
    <col min="5" max="5" width="30.85546875" customWidth="1"/>
    <col min="6" max="6" width="16.42578125" customWidth="1"/>
    <col min="7" max="7" width="20" customWidth="1"/>
    <col min="8" max="8" width="16.28515625" customWidth="1"/>
    <col min="9" max="9" width="14.85546875" customWidth="1"/>
    <col min="10" max="10" width="8" customWidth="1"/>
    <col min="11" max="11" width="9.140625" customWidth="1"/>
  </cols>
  <sheetData>
    <row r="1" spans="1:11" ht="17.649999999999999" customHeight="1" x14ac:dyDescent="0.25">
      <c r="A1" s="1142" t="s">
        <v>936</v>
      </c>
      <c r="B1" s="1142"/>
      <c r="C1" s="1142"/>
      <c r="D1" s="1142"/>
      <c r="E1" s="1142"/>
      <c r="F1" s="1142"/>
      <c r="G1" s="1142"/>
      <c r="H1" s="1142"/>
      <c r="I1" s="176"/>
      <c r="J1" s="141"/>
      <c r="K1" s="106"/>
    </row>
    <row r="2" spans="1:11" ht="14.1" customHeight="1" x14ac:dyDescent="0.25">
      <c r="A2" s="1143" t="s">
        <v>1271</v>
      </c>
      <c r="B2" s="1143"/>
      <c r="C2" s="1143"/>
      <c r="D2" s="1143"/>
      <c r="E2" s="1143"/>
      <c r="F2" s="1143"/>
      <c r="G2" s="1143"/>
      <c r="H2" s="1143"/>
      <c r="I2" s="311" t="s">
        <v>841</v>
      </c>
      <c r="J2" s="141"/>
      <c r="K2" s="106"/>
    </row>
    <row r="3" spans="1:11" ht="14.1" customHeight="1" x14ac:dyDescent="0.25">
      <c r="A3" s="141"/>
      <c r="B3" s="362" t="s">
        <v>804</v>
      </c>
      <c r="C3" s="71" t="s">
        <v>71</v>
      </c>
      <c r="D3" s="71"/>
      <c r="E3" s="501"/>
      <c r="F3" s="141"/>
      <c r="G3" s="141"/>
      <c r="H3" s="141"/>
      <c r="I3" s="311" t="s">
        <v>1330</v>
      </c>
      <c r="J3" s="141"/>
      <c r="K3" s="106"/>
    </row>
    <row r="4" spans="1:11" ht="14.1" customHeight="1" x14ac:dyDescent="0.25">
      <c r="A4" s="141"/>
      <c r="B4" s="362" t="s">
        <v>802</v>
      </c>
      <c r="C4" s="71" t="s">
        <v>475</v>
      </c>
      <c r="D4" s="71"/>
      <c r="E4" s="501"/>
      <c r="F4" s="141"/>
      <c r="G4" s="141"/>
      <c r="H4" s="141"/>
      <c r="I4" s="311" t="s">
        <v>885</v>
      </c>
      <c r="J4" s="141"/>
      <c r="K4" s="106"/>
    </row>
    <row r="5" spans="1:11" ht="14.1" customHeight="1" x14ac:dyDescent="0.25">
      <c r="A5" s="141"/>
      <c r="B5" s="362" t="s">
        <v>370</v>
      </c>
      <c r="C5" s="71" t="s">
        <v>487</v>
      </c>
      <c r="D5" s="71"/>
      <c r="E5" s="501"/>
      <c r="F5" s="141"/>
      <c r="G5" s="141"/>
      <c r="H5" s="141"/>
      <c r="I5" s="311" t="s">
        <v>755</v>
      </c>
      <c r="J5" s="141"/>
      <c r="K5" s="106"/>
    </row>
    <row r="6" spans="1:11" ht="14.1" customHeight="1" x14ac:dyDescent="0.25">
      <c r="A6" s="141"/>
      <c r="B6" s="362" t="s">
        <v>1352</v>
      </c>
      <c r="C6" s="71"/>
      <c r="D6" s="71"/>
      <c r="E6" s="501"/>
      <c r="F6" s="141"/>
      <c r="G6" s="141"/>
      <c r="H6" s="141"/>
      <c r="I6" s="311" t="s">
        <v>770</v>
      </c>
      <c r="J6" s="141"/>
      <c r="K6" s="106"/>
    </row>
    <row r="7" spans="1:11" ht="14.1" customHeight="1" x14ac:dyDescent="0.25">
      <c r="A7" s="176"/>
      <c r="B7" s="106"/>
      <c r="C7" s="383">
        <v>0</v>
      </c>
      <c r="D7" s="106"/>
      <c r="E7" s="167"/>
      <c r="F7" s="106"/>
      <c r="G7" s="1147" t="s">
        <v>814</v>
      </c>
      <c r="H7" s="1147"/>
      <c r="I7" s="176"/>
      <c r="J7" s="141"/>
      <c r="K7" s="106"/>
    </row>
    <row r="8" spans="1:11" ht="28.15" customHeight="1" x14ac:dyDescent="0.25">
      <c r="A8" s="187" t="s">
        <v>1323</v>
      </c>
      <c r="B8" s="187" t="s">
        <v>842</v>
      </c>
      <c r="C8" s="387" t="s">
        <v>1328</v>
      </c>
      <c r="D8" s="187" t="s">
        <v>860</v>
      </c>
      <c r="E8" s="549" t="s">
        <v>426</v>
      </c>
      <c r="F8" s="187" t="s">
        <v>384</v>
      </c>
      <c r="G8" s="187" t="s">
        <v>10</v>
      </c>
      <c r="H8" s="187" t="s">
        <v>406</v>
      </c>
      <c r="I8" s="601" t="s">
        <v>941</v>
      </c>
      <c r="J8" s="141" t="s">
        <v>383</v>
      </c>
      <c r="K8" s="106"/>
    </row>
    <row r="9" spans="1:11" ht="15" customHeight="1" x14ac:dyDescent="0.25">
      <c r="A9" s="535">
        <v>1</v>
      </c>
      <c r="B9" s="57" t="s">
        <v>1171</v>
      </c>
      <c r="C9" s="395"/>
      <c r="D9" s="471"/>
      <c r="E9" s="486" t="s">
        <v>306</v>
      </c>
      <c r="F9" s="566">
        <f t="shared" ref="F9:H9" si="0">SUM(F10:F10)</f>
        <v>1143527183.0114</v>
      </c>
      <c r="G9" s="406">
        <f t="shared" si="0"/>
        <v>91482174.640911996</v>
      </c>
      <c r="H9" s="406">
        <f t="shared" si="0"/>
        <v>1235009357.6523099</v>
      </c>
      <c r="I9" s="535" t="s">
        <v>927</v>
      </c>
      <c r="J9" s="295">
        <v>1</v>
      </c>
      <c r="K9" s="795"/>
    </row>
    <row r="10" spans="1:11" ht="28.15" customHeight="1" x14ac:dyDescent="0.25">
      <c r="A10" s="535"/>
      <c r="B10" s="642" t="s">
        <v>1282</v>
      </c>
      <c r="C10" s="395"/>
      <c r="D10" s="471"/>
      <c r="E10" s="149" t="s">
        <v>349</v>
      </c>
      <c r="F10" s="213">
        <v>1143527183.0114</v>
      </c>
      <c r="G10" s="444">
        <v>91482174.640911996</v>
      </c>
      <c r="H10" s="444">
        <v>1235009357.6523099</v>
      </c>
      <c r="I10" s="535"/>
      <c r="J10" s="295"/>
      <c r="K10" s="79" t="s">
        <v>1047</v>
      </c>
    </row>
    <row r="11" spans="1:11" ht="15" customHeight="1" x14ac:dyDescent="0.25">
      <c r="A11" s="761">
        <v>2</v>
      </c>
      <c r="B11" s="287" t="s">
        <v>720</v>
      </c>
      <c r="C11" s="639"/>
      <c r="D11" s="705"/>
      <c r="E11" s="346" t="s">
        <v>829</v>
      </c>
      <c r="F11" s="444">
        <v>0</v>
      </c>
      <c r="G11" s="406">
        <v>0</v>
      </c>
      <c r="H11" s="406">
        <v>0</v>
      </c>
      <c r="I11" s="761" t="s">
        <v>208</v>
      </c>
      <c r="J11" s="295">
        <v>1</v>
      </c>
      <c r="K11" s="795"/>
    </row>
    <row r="12" spans="1:11" ht="15" customHeight="1" x14ac:dyDescent="0.25">
      <c r="A12" s="761">
        <v>3</v>
      </c>
      <c r="B12" s="287" t="s">
        <v>122</v>
      </c>
      <c r="C12" s="639">
        <f>VLOOKUP(C3,'Tra định mức'!B179:O183,14,FALSE)*1/100</f>
        <v>2.9360000000000001E-2</v>
      </c>
      <c r="D12" s="705"/>
      <c r="E12" s="346" t="s">
        <v>626</v>
      </c>
      <c r="F12" s="406">
        <v>0</v>
      </c>
      <c r="G12" s="406"/>
      <c r="H12" s="406">
        <f>F12+G12</f>
        <v>0</v>
      </c>
      <c r="I12" s="761" t="s">
        <v>43</v>
      </c>
      <c r="J12" s="295">
        <v>1</v>
      </c>
      <c r="K12" s="795"/>
    </row>
    <row r="13" spans="1:11" ht="12.75" hidden="1" customHeight="1" x14ac:dyDescent="0.25">
      <c r="A13" s="761">
        <v>4</v>
      </c>
      <c r="B13" s="287" t="s">
        <v>812</v>
      </c>
      <c r="C13" s="639"/>
      <c r="D13" s="705"/>
      <c r="E13" s="346"/>
      <c r="F13" s="406">
        <v>0</v>
      </c>
      <c r="G13" s="406">
        <f>SUMIF(J14:J49,1,G14:G49)</f>
        <v>0</v>
      </c>
      <c r="H13" s="406">
        <f>SUMIF(J14:J49,1,H14:H49)</f>
        <v>0</v>
      </c>
      <c r="I13" s="761" t="s">
        <v>1076</v>
      </c>
      <c r="J13" s="295">
        <v>0</v>
      </c>
      <c r="K13" s="795"/>
    </row>
    <row r="14" spans="1:11" ht="12.75" hidden="1" customHeight="1" x14ac:dyDescent="0.25">
      <c r="A14" s="425">
        <v>4.0999999999999996</v>
      </c>
      <c r="B14" s="840" t="s">
        <v>1265</v>
      </c>
      <c r="C14" s="284"/>
      <c r="D14" s="367"/>
      <c r="E14" s="380"/>
      <c r="F14" s="444">
        <v>0</v>
      </c>
      <c r="G14" s="444">
        <f t="shared" ref="G14:G33" si="1">ROUND(F14*10%,0)</f>
        <v>0</v>
      </c>
      <c r="H14" s="444">
        <f t="shared" ref="H14:H33" si="2">F14+G14</f>
        <v>0</v>
      </c>
      <c r="I14" s="425" t="s">
        <v>20</v>
      </c>
      <c r="J14" s="295">
        <v>0</v>
      </c>
      <c r="K14" s="795"/>
    </row>
    <row r="15" spans="1:11" ht="12.75" hidden="1" customHeight="1" x14ac:dyDescent="0.25">
      <c r="A15" s="425">
        <v>4.2</v>
      </c>
      <c r="B15" s="840" t="s">
        <v>1025</v>
      </c>
      <c r="C15" s="284">
        <v>0.03</v>
      </c>
      <c r="D15" s="367"/>
      <c r="E15" s="380" t="s">
        <v>1242</v>
      </c>
      <c r="F15" s="444">
        <v>0</v>
      </c>
      <c r="G15" s="444">
        <f t="shared" si="1"/>
        <v>0</v>
      </c>
      <c r="H15" s="444">
        <f t="shared" si="2"/>
        <v>0</v>
      </c>
      <c r="I15" s="425" t="s">
        <v>129</v>
      </c>
      <c r="J15" s="295">
        <v>0</v>
      </c>
      <c r="K15" s="795"/>
    </row>
    <row r="16" spans="1:11" ht="12.75" hidden="1" customHeight="1" x14ac:dyDescent="0.25">
      <c r="A16" s="425">
        <v>4.3</v>
      </c>
      <c r="B16" s="840" t="s">
        <v>1068</v>
      </c>
      <c r="C16" s="284">
        <v>4.0719999999999999E-2</v>
      </c>
      <c r="D16" s="367"/>
      <c r="E16" s="380" t="s">
        <v>1242</v>
      </c>
      <c r="F16" s="444">
        <v>0</v>
      </c>
      <c r="G16" s="444">
        <f t="shared" si="1"/>
        <v>0</v>
      </c>
      <c r="H16" s="444">
        <f t="shared" si="2"/>
        <v>0</v>
      </c>
      <c r="I16" s="425" t="s">
        <v>1346</v>
      </c>
      <c r="J16" s="295">
        <v>0</v>
      </c>
      <c r="K16" s="795"/>
    </row>
    <row r="17" spans="1:11" ht="12.75" hidden="1" customHeight="1" x14ac:dyDescent="0.25">
      <c r="A17" s="425">
        <v>4.4000000000000004</v>
      </c>
      <c r="B17" s="840" t="s">
        <v>97</v>
      </c>
      <c r="C17" s="284">
        <v>0</v>
      </c>
      <c r="D17" s="367"/>
      <c r="E17" s="380" t="s">
        <v>1454</v>
      </c>
      <c r="F17" s="444">
        <v>0</v>
      </c>
      <c r="G17" s="444">
        <f t="shared" si="1"/>
        <v>0</v>
      </c>
      <c r="H17" s="444">
        <f t="shared" si="2"/>
        <v>0</v>
      </c>
      <c r="I17" s="425" t="s">
        <v>1096</v>
      </c>
      <c r="J17" s="295">
        <v>0</v>
      </c>
      <c r="K17" s="795"/>
    </row>
    <row r="18" spans="1:11" ht="12.75" hidden="1" customHeight="1" x14ac:dyDescent="0.25">
      <c r="A18" s="425">
        <v>4.5</v>
      </c>
      <c r="B18" s="840" t="s">
        <v>1277</v>
      </c>
      <c r="C18" s="284">
        <v>0</v>
      </c>
      <c r="D18" s="367"/>
      <c r="E18" s="380" t="s">
        <v>1454</v>
      </c>
      <c r="F18" s="444">
        <v>0</v>
      </c>
      <c r="G18" s="444">
        <f t="shared" si="1"/>
        <v>0</v>
      </c>
      <c r="H18" s="444">
        <f t="shared" si="2"/>
        <v>0</v>
      </c>
      <c r="I18" s="425" t="s">
        <v>675</v>
      </c>
      <c r="J18" s="295">
        <v>0</v>
      </c>
      <c r="K18" s="795"/>
    </row>
    <row r="19" spans="1:11" ht="12.75" hidden="1" customHeight="1" x14ac:dyDescent="0.25">
      <c r="A19" s="425">
        <v>4.5999999999999996</v>
      </c>
      <c r="B19" s="840" t="s">
        <v>687</v>
      </c>
      <c r="C19" s="284"/>
      <c r="D19" s="367"/>
      <c r="E19" s="380"/>
      <c r="F19" s="444">
        <v>8000000</v>
      </c>
      <c r="G19" s="444">
        <f t="shared" si="1"/>
        <v>800000</v>
      </c>
      <c r="H19" s="444">
        <f t="shared" si="2"/>
        <v>8800000</v>
      </c>
      <c r="I19" s="425" t="s">
        <v>132</v>
      </c>
      <c r="J19" s="295">
        <v>0</v>
      </c>
      <c r="K19" s="795"/>
    </row>
    <row r="20" spans="1:11" ht="12.75" hidden="1" customHeight="1" x14ac:dyDescent="0.25">
      <c r="A20" s="425">
        <v>4.7</v>
      </c>
      <c r="B20" s="840" t="s">
        <v>152</v>
      </c>
      <c r="C20" s="284">
        <f>VLOOKUP(C3,'Tra định mức'!B191:O195,14,FALSE)*1/100</f>
        <v>4.13E-3</v>
      </c>
      <c r="D20" s="367"/>
      <c r="E20" s="380" t="s">
        <v>1454</v>
      </c>
      <c r="F20" s="444">
        <v>0</v>
      </c>
      <c r="G20" s="444">
        <f t="shared" si="1"/>
        <v>0</v>
      </c>
      <c r="H20" s="444">
        <f t="shared" si="2"/>
        <v>0</v>
      </c>
      <c r="I20" s="425" t="s">
        <v>330</v>
      </c>
      <c r="J20" s="295">
        <v>0</v>
      </c>
      <c r="K20" s="795"/>
    </row>
    <row r="21" spans="1:11" ht="12.75" hidden="1" customHeight="1" x14ac:dyDescent="0.25">
      <c r="A21" s="425">
        <v>4.8</v>
      </c>
      <c r="B21" s="840" t="s">
        <v>964</v>
      </c>
      <c r="C21" s="284">
        <f>VLOOKUP(C3,'Tra định mức'!B203:O207,14,FALSE)*1/100</f>
        <v>6.8899999999999994E-3</v>
      </c>
      <c r="D21" s="367"/>
      <c r="E21" s="380" t="s">
        <v>1454</v>
      </c>
      <c r="F21" s="444">
        <v>0</v>
      </c>
      <c r="G21" s="444">
        <f t="shared" si="1"/>
        <v>0</v>
      </c>
      <c r="H21" s="444">
        <f t="shared" si="2"/>
        <v>0</v>
      </c>
      <c r="I21" s="425" t="s">
        <v>1156</v>
      </c>
      <c r="J21" s="295">
        <v>0</v>
      </c>
      <c r="K21" s="795"/>
    </row>
    <row r="22" spans="1:11" ht="12.75" hidden="1" customHeight="1" x14ac:dyDescent="0.25">
      <c r="A22" s="425">
        <v>4.9000000000000004</v>
      </c>
      <c r="B22" s="840" t="s">
        <v>1275</v>
      </c>
      <c r="C22" s="284">
        <f>VLOOKUP(C3,'Tra định mức'!B215:G219,6,FALSE)*1/100</f>
        <v>5.271E-2</v>
      </c>
      <c r="D22" s="367"/>
      <c r="E22" s="380" t="s">
        <v>1454</v>
      </c>
      <c r="F22" s="444">
        <v>5000000</v>
      </c>
      <c r="G22" s="444">
        <f t="shared" si="1"/>
        <v>500000</v>
      </c>
      <c r="H22" s="444">
        <f t="shared" si="2"/>
        <v>5500000</v>
      </c>
      <c r="I22" s="425" t="s">
        <v>1291</v>
      </c>
      <c r="J22" s="295">
        <v>0</v>
      </c>
      <c r="K22" s="795"/>
    </row>
    <row r="23" spans="1:11" ht="12.75" hidden="1" customHeight="1" x14ac:dyDescent="0.25">
      <c r="A23" s="425">
        <v>4.0999999999999996</v>
      </c>
      <c r="B23" s="840" t="s">
        <v>18</v>
      </c>
      <c r="C23" s="284">
        <f>VLOOKUP(C3,'Tra định mức'!B299:O303,14,FALSE)*1/100</f>
        <v>5.4000000000000001E-4</v>
      </c>
      <c r="D23" s="367"/>
      <c r="E23" s="380" t="s">
        <v>1454</v>
      </c>
      <c r="F23" s="444">
        <v>0</v>
      </c>
      <c r="G23" s="444">
        <f t="shared" si="1"/>
        <v>0</v>
      </c>
      <c r="H23" s="444">
        <f t="shared" si="2"/>
        <v>0</v>
      </c>
      <c r="I23" s="425" t="s">
        <v>1268</v>
      </c>
      <c r="J23" s="295">
        <v>0</v>
      </c>
      <c r="K23" s="795"/>
    </row>
    <row r="24" spans="1:11" ht="12.75" hidden="1" customHeight="1" x14ac:dyDescent="0.25">
      <c r="A24" s="425">
        <v>4.1100000000000003</v>
      </c>
      <c r="B24" s="840" t="s">
        <v>469</v>
      </c>
      <c r="C24" s="284">
        <f>VLOOKUP(C3,'Tra định mức'!B311:O315,14,FALSE)*1/100</f>
        <v>1.5299999999999999E-3</v>
      </c>
      <c r="D24" s="367"/>
      <c r="E24" s="380" t="s">
        <v>1454</v>
      </c>
      <c r="F24" s="444">
        <v>0</v>
      </c>
      <c r="G24" s="444">
        <f t="shared" si="1"/>
        <v>0</v>
      </c>
      <c r="H24" s="444">
        <f t="shared" si="2"/>
        <v>0</v>
      </c>
      <c r="I24" s="425" t="s">
        <v>978</v>
      </c>
      <c r="J24" s="295">
        <v>0</v>
      </c>
      <c r="K24" s="795"/>
    </row>
    <row r="25" spans="1:11" ht="12.75" hidden="1" customHeight="1" x14ac:dyDescent="0.25">
      <c r="A25" s="425">
        <v>4.12</v>
      </c>
      <c r="B25" s="840" t="s">
        <v>1465</v>
      </c>
      <c r="C25" s="284">
        <v>0.2</v>
      </c>
      <c r="D25" s="367"/>
      <c r="E25" s="380" t="s">
        <v>310</v>
      </c>
      <c r="F25" s="444">
        <v>0</v>
      </c>
      <c r="G25" s="444">
        <f t="shared" si="1"/>
        <v>0</v>
      </c>
      <c r="H25" s="444">
        <f t="shared" si="2"/>
        <v>0</v>
      </c>
      <c r="I25" s="425" t="s">
        <v>169</v>
      </c>
      <c r="J25" s="295">
        <v>0</v>
      </c>
      <c r="K25" s="795"/>
    </row>
    <row r="26" spans="1:11" ht="12.75" hidden="1" customHeight="1" x14ac:dyDescent="0.25">
      <c r="A26" s="425">
        <v>4.13</v>
      </c>
      <c r="B26" s="840" t="s">
        <v>613</v>
      </c>
      <c r="C26" s="284">
        <v>2.1327E-3</v>
      </c>
      <c r="D26" s="367"/>
      <c r="E26" s="380" t="s">
        <v>575</v>
      </c>
      <c r="F26" s="444">
        <v>0</v>
      </c>
      <c r="G26" s="444">
        <f t="shared" si="1"/>
        <v>0</v>
      </c>
      <c r="H26" s="444">
        <f t="shared" si="2"/>
        <v>0</v>
      </c>
      <c r="I26" s="425" t="s">
        <v>756</v>
      </c>
      <c r="J26" s="295">
        <v>0</v>
      </c>
      <c r="K26" s="795"/>
    </row>
    <row r="27" spans="1:11" ht="12.75" hidden="1" customHeight="1" x14ac:dyDescent="0.25">
      <c r="A27" s="425">
        <v>4.1399999999999997</v>
      </c>
      <c r="B27" s="840" t="s">
        <v>1252</v>
      </c>
      <c r="C27" s="284">
        <v>2.0888999999999999E-3</v>
      </c>
      <c r="D27" s="367"/>
      <c r="E27" s="380" t="s">
        <v>575</v>
      </c>
      <c r="F27" s="444">
        <v>0</v>
      </c>
      <c r="G27" s="444">
        <f t="shared" si="1"/>
        <v>0</v>
      </c>
      <c r="H27" s="444">
        <f t="shared" si="2"/>
        <v>0</v>
      </c>
      <c r="I27" s="425" t="s">
        <v>583</v>
      </c>
      <c r="J27" s="295">
        <v>0</v>
      </c>
      <c r="K27" s="795"/>
    </row>
    <row r="28" spans="1:11" ht="12.75" hidden="1" customHeight="1" x14ac:dyDescent="0.25">
      <c r="A28" s="425">
        <v>4.1500000000000004</v>
      </c>
      <c r="B28" s="840" t="s">
        <v>1432</v>
      </c>
      <c r="C28" s="284"/>
      <c r="D28" s="367"/>
      <c r="E28" s="380" t="s">
        <v>306</v>
      </c>
      <c r="F28" s="444"/>
      <c r="G28" s="444">
        <f t="shared" si="1"/>
        <v>0</v>
      </c>
      <c r="H28" s="444">
        <f t="shared" si="2"/>
        <v>0</v>
      </c>
      <c r="I28" s="425" t="s">
        <v>1437</v>
      </c>
      <c r="J28" s="295">
        <v>0</v>
      </c>
      <c r="K28" s="795"/>
    </row>
    <row r="29" spans="1:11" ht="12.75" hidden="1" customHeight="1" x14ac:dyDescent="0.25">
      <c r="A29" s="425">
        <v>4.16</v>
      </c>
      <c r="B29" s="840" t="s">
        <v>775</v>
      </c>
      <c r="C29" s="284">
        <f>IF(C4='Tra định mức'!W230,VLOOKUP(C3&amp;C4&amp;C5,'Tra định mức'!T229:U291,2,FALSE),0)*1/100</f>
        <v>0</v>
      </c>
      <c r="D29" s="367"/>
      <c r="E29" s="380" t="s">
        <v>575</v>
      </c>
      <c r="F29" s="444">
        <v>0</v>
      </c>
      <c r="G29" s="444">
        <f t="shared" si="1"/>
        <v>0</v>
      </c>
      <c r="H29" s="444">
        <f t="shared" si="2"/>
        <v>0</v>
      </c>
      <c r="I29" s="425" t="s">
        <v>534</v>
      </c>
      <c r="J29" s="295">
        <v>0</v>
      </c>
      <c r="K29" s="795"/>
    </row>
    <row r="30" spans="1:11" ht="12.75" hidden="1" customHeight="1" x14ac:dyDescent="0.25">
      <c r="A30" s="425">
        <v>4.17</v>
      </c>
      <c r="B30" s="840" t="s">
        <v>1214</v>
      </c>
      <c r="C30" s="284">
        <f>IF(OR(C4='Tra định mức'!W229, C4='Tra định mức'!W230),VLOOKUP(C3&amp;'Tra định mức'!W229&amp;C5,'Tra định mức'!T229:U291,2,FALSE),0)*1/100</f>
        <v>0</v>
      </c>
      <c r="D30" s="367"/>
      <c r="E30" s="380" t="s">
        <v>19</v>
      </c>
      <c r="F30" s="444">
        <v>0</v>
      </c>
      <c r="G30" s="444">
        <f t="shared" si="1"/>
        <v>0</v>
      </c>
      <c r="H30" s="444">
        <f t="shared" si="2"/>
        <v>0</v>
      </c>
      <c r="I30" s="425" t="s">
        <v>619</v>
      </c>
      <c r="J30" s="295">
        <v>0</v>
      </c>
      <c r="K30" s="795"/>
    </row>
    <row r="31" spans="1:11" ht="12.75" hidden="1" customHeight="1" x14ac:dyDescent="0.25">
      <c r="A31" s="425">
        <v>4.18</v>
      </c>
      <c r="B31" s="840" t="s">
        <v>497</v>
      </c>
      <c r="C31" s="284">
        <f>VLOOKUP(C3,'Tra định mức'!B323:N327,13,FALSE)*1/100</f>
        <v>1.7000000000000001E-3</v>
      </c>
      <c r="D31" s="367"/>
      <c r="E31" s="380" t="s">
        <v>575</v>
      </c>
      <c r="F31" s="444">
        <v>2000000</v>
      </c>
      <c r="G31" s="444">
        <f t="shared" si="1"/>
        <v>200000</v>
      </c>
      <c r="H31" s="444">
        <f t="shared" si="2"/>
        <v>2200000</v>
      </c>
      <c r="I31" s="425" t="s">
        <v>878</v>
      </c>
      <c r="J31" s="847">
        <v>0</v>
      </c>
      <c r="K31" s="795"/>
    </row>
    <row r="32" spans="1:11" ht="12.75" hidden="1" customHeight="1" x14ac:dyDescent="0.25">
      <c r="A32" s="425">
        <v>4.1900000000000004</v>
      </c>
      <c r="B32" s="840" t="s">
        <v>1108</v>
      </c>
      <c r="C32" s="284">
        <v>0</v>
      </c>
      <c r="D32" s="367"/>
      <c r="E32" s="380"/>
      <c r="F32" s="444">
        <v>0</v>
      </c>
      <c r="G32" s="444">
        <f t="shared" si="1"/>
        <v>0</v>
      </c>
      <c r="H32" s="444">
        <f t="shared" si="2"/>
        <v>0</v>
      </c>
      <c r="I32" s="425" t="s">
        <v>1104</v>
      </c>
      <c r="J32" s="295">
        <v>0</v>
      </c>
      <c r="K32" s="795"/>
    </row>
    <row r="33" spans="1:11" ht="12.75" hidden="1" customHeight="1" x14ac:dyDescent="0.25">
      <c r="A33" s="97">
        <v>4.2</v>
      </c>
      <c r="B33" s="840" t="s">
        <v>127</v>
      </c>
      <c r="C33" s="284">
        <f>VLOOKUP(C3,'Tra định mức'!B335:N339,13,FALSE)*1/100</f>
        <v>1.66E-3</v>
      </c>
      <c r="D33" s="367"/>
      <c r="E33" s="380" t="s">
        <v>575</v>
      </c>
      <c r="F33" s="444">
        <v>2000000</v>
      </c>
      <c r="G33" s="444">
        <f t="shared" si="1"/>
        <v>200000</v>
      </c>
      <c r="H33" s="444">
        <f t="shared" si="2"/>
        <v>2200000</v>
      </c>
      <c r="I33" s="425" t="s">
        <v>912</v>
      </c>
      <c r="J33" s="295">
        <v>0</v>
      </c>
      <c r="K33" s="795"/>
    </row>
    <row r="34" spans="1:11" ht="12.75" hidden="1" customHeight="1" x14ac:dyDescent="0.25">
      <c r="A34" s="425"/>
      <c r="B34" s="840" t="s">
        <v>508</v>
      </c>
      <c r="C34" s="284"/>
      <c r="D34" s="367"/>
      <c r="E34" s="380" t="s">
        <v>642</v>
      </c>
      <c r="F34" s="444">
        <v>1143527183.0114</v>
      </c>
      <c r="G34" s="444">
        <f>ROUND(GGTXD!D7,0)</f>
        <v>1143527184</v>
      </c>
      <c r="H34" s="444"/>
      <c r="I34" s="425" t="s">
        <v>311</v>
      </c>
      <c r="J34" s="295">
        <v>0</v>
      </c>
      <c r="K34" s="795"/>
    </row>
    <row r="35" spans="1:11" ht="12.75" hidden="1" customHeight="1" x14ac:dyDescent="0.25">
      <c r="A35" s="425"/>
      <c r="B35" s="840" t="s">
        <v>1420</v>
      </c>
      <c r="C35" s="284"/>
      <c r="D35" s="367"/>
      <c r="E35" s="380" t="s">
        <v>642</v>
      </c>
      <c r="F35" s="444">
        <v>1242728166</v>
      </c>
      <c r="G35" s="444">
        <f>ROUND(GGTXD!D16,0)</f>
        <v>1242728167</v>
      </c>
      <c r="H35" s="444"/>
      <c r="I35" s="425" t="s">
        <v>561</v>
      </c>
      <c r="J35" s="295">
        <v>0</v>
      </c>
      <c r="K35" s="795"/>
    </row>
    <row r="36" spans="1:11" ht="12.75" hidden="1" customHeight="1" x14ac:dyDescent="0.25">
      <c r="A36" s="425">
        <v>4.21</v>
      </c>
      <c r="B36" s="840" t="s">
        <v>347</v>
      </c>
      <c r="C36" s="284">
        <f>VLOOKUP(C3,'Tra định mức'!B355:K359,10,FALSE)*1/100</f>
        <v>3.4599999999999995E-3</v>
      </c>
      <c r="D36" s="367"/>
      <c r="E36" s="380" t="s">
        <v>1129</v>
      </c>
      <c r="F36" s="444">
        <v>909567</v>
      </c>
      <c r="G36" s="444">
        <f t="shared" ref="G36:G49" si="3">ROUND(F36*10%,0)</f>
        <v>90957</v>
      </c>
      <c r="H36" s="444">
        <f t="shared" ref="H36:H49" si="4">F36+G36</f>
        <v>1000524</v>
      </c>
      <c r="I36" s="425" t="s">
        <v>62</v>
      </c>
      <c r="J36" s="295">
        <v>0</v>
      </c>
      <c r="K36" s="795"/>
    </row>
    <row r="37" spans="1:11" ht="12.75" hidden="1" customHeight="1" x14ac:dyDescent="0.25">
      <c r="A37" s="425">
        <v>4.22</v>
      </c>
      <c r="B37" s="840" t="s">
        <v>540</v>
      </c>
      <c r="C37" s="284">
        <v>5.0000000000000001E-4</v>
      </c>
      <c r="D37" s="367"/>
      <c r="E37" s="380" t="s">
        <v>1129</v>
      </c>
      <c r="F37" s="444">
        <v>1000000</v>
      </c>
      <c r="G37" s="444">
        <f t="shared" si="3"/>
        <v>100000</v>
      </c>
      <c r="H37" s="444">
        <f t="shared" si="4"/>
        <v>1100000</v>
      </c>
      <c r="I37" s="425" t="s">
        <v>650</v>
      </c>
      <c r="J37" s="295">
        <v>0</v>
      </c>
      <c r="K37" s="795"/>
    </row>
    <row r="38" spans="1:11" ht="12.75" hidden="1" customHeight="1" x14ac:dyDescent="0.25">
      <c r="A38" s="425">
        <v>4.2300000000000004</v>
      </c>
      <c r="B38" s="840" t="s">
        <v>1087</v>
      </c>
      <c r="C38" s="284">
        <v>2.9999999999999997E-4</v>
      </c>
      <c r="D38" s="367"/>
      <c r="E38" s="380" t="s">
        <v>1129</v>
      </c>
      <c r="F38" s="444">
        <v>1000000</v>
      </c>
      <c r="G38" s="444">
        <f t="shared" si="3"/>
        <v>100000</v>
      </c>
      <c r="H38" s="444">
        <f t="shared" si="4"/>
        <v>1100000</v>
      </c>
      <c r="I38" s="425" t="s">
        <v>765</v>
      </c>
      <c r="J38" s="295">
        <v>0</v>
      </c>
      <c r="K38" s="795"/>
    </row>
    <row r="39" spans="1:11" ht="12.75" hidden="1" customHeight="1" x14ac:dyDescent="0.25">
      <c r="A39" s="425">
        <v>4.24</v>
      </c>
      <c r="B39" s="840" t="s">
        <v>786</v>
      </c>
      <c r="C39" s="284">
        <v>1E-3</v>
      </c>
      <c r="D39" s="367"/>
      <c r="E39" s="380" t="s">
        <v>1129</v>
      </c>
      <c r="F39" s="444">
        <v>1000000</v>
      </c>
      <c r="G39" s="444">
        <f t="shared" si="3"/>
        <v>100000</v>
      </c>
      <c r="H39" s="444">
        <f t="shared" si="4"/>
        <v>1100000</v>
      </c>
      <c r="I39" s="425" t="s">
        <v>118</v>
      </c>
      <c r="J39" s="295">
        <v>0</v>
      </c>
      <c r="K39" s="795"/>
    </row>
    <row r="40" spans="1:11" ht="12.75" hidden="1" customHeight="1" x14ac:dyDescent="0.25">
      <c r="A40" s="425">
        <v>4.25</v>
      </c>
      <c r="B40" s="840" t="s">
        <v>618</v>
      </c>
      <c r="C40" s="284">
        <v>5.0000000000000001E-4</v>
      </c>
      <c r="D40" s="367"/>
      <c r="E40" s="380" t="s">
        <v>1129</v>
      </c>
      <c r="F40" s="444">
        <v>1000000</v>
      </c>
      <c r="G40" s="444">
        <f t="shared" si="3"/>
        <v>100000</v>
      </c>
      <c r="H40" s="444">
        <f t="shared" si="4"/>
        <v>1100000</v>
      </c>
      <c r="I40" s="425" t="s">
        <v>8</v>
      </c>
      <c r="J40" s="295">
        <v>0</v>
      </c>
      <c r="K40" s="795"/>
    </row>
    <row r="41" spans="1:11" ht="12.75" hidden="1" customHeight="1" x14ac:dyDescent="0.25">
      <c r="A41" s="425">
        <v>4.26</v>
      </c>
      <c r="B41" s="840" t="s">
        <v>1036</v>
      </c>
      <c r="C41" s="284">
        <v>5.0000000000000001E-4</v>
      </c>
      <c r="D41" s="367"/>
      <c r="E41" s="380" t="s">
        <v>1129</v>
      </c>
      <c r="F41" s="444">
        <v>1000000</v>
      </c>
      <c r="G41" s="444">
        <f t="shared" si="3"/>
        <v>100000</v>
      </c>
      <c r="H41" s="444">
        <f t="shared" si="4"/>
        <v>1100000</v>
      </c>
      <c r="I41" s="425" t="s">
        <v>498</v>
      </c>
      <c r="J41" s="295">
        <v>0</v>
      </c>
      <c r="K41" s="795"/>
    </row>
    <row r="42" spans="1:11" ht="12.75" hidden="1" customHeight="1" x14ac:dyDescent="0.25">
      <c r="A42" s="425">
        <v>4.2699999999999996</v>
      </c>
      <c r="B42" s="840" t="s">
        <v>674</v>
      </c>
      <c r="C42" s="284">
        <v>1E-3</v>
      </c>
      <c r="D42" s="367"/>
      <c r="E42" s="380" t="s">
        <v>1129</v>
      </c>
      <c r="F42" s="444">
        <v>1000000</v>
      </c>
      <c r="G42" s="444">
        <f t="shared" si="3"/>
        <v>100000</v>
      </c>
      <c r="H42" s="444">
        <f t="shared" si="4"/>
        <v>1100000</v>
      </c>
      <c r="I42" s="425" t="s">
        <v>1387</v>
      </c>
      <c r="J42" s="295">
        <v>0</v>
      </c>
      <c r="K42" s="795"/>
    </row>
    <row r="43" spans="1:11" ht="12.75" hidden="1" customHeight="1" x14ac:dyDescent="0.25">
      <c r="A43" s="425">
        <v>4.28</v>
      </c>
      <c r="B43" s="840" t="s">
        <v>415</v>
      </c>
      <c r="C43" s="284">
        <v>5.0000000000000001E-4</v>
      </c>
      <c r="D43" s="367"/>
      <c r="E43" s="380" t="s">
        <v>1129</v>
      </c>
      <c r="F43" s="444">
        <v>1000000</v>
      </c>
      <c r="G43" s="444">
        <f t="shared" si="3"/>
        <v>100000</v>
      </c>
      <c r="H43" s="444">
        <f t="shared" si="4"/>
        <v>1100000</v>
      </c>
      <c r="I43" s="425" t="s">
        <v>956</v>
      </c>
      <c r="J43" s="295">
        <v>0</v>
      </c>
      <c r="K43" s="795"/>
    </row>
    <row r="44" spans="1:11" ht="12.75" hidden="1" customHeight="1" x14ac:dyDescent="0.25">
      <c r="A44" s="425">
        <v>4.29</v>
      </c>
      <c r="B44" s="840" t="s">
        <v>23</v>
      </c>
      <c r="C44" s="284">
        <v>2.0000000000000001E-4</v>
      </c>
      <c r="D44" s="367"/>
      <c r="E44" s="380" t="s">
        <v>1129</v>
      </c>
      <c r="F44" s="444">
        <v>1000000</v>
      </c>
      <c r="G44" s="444">
        <f t="shared" si="3"/>
        <v>100000</v>
      </c>
      <c r="H44" s="444">
        <f t="shared" si="4"/>
        <v>1100000</v>
      </c>
      <c r="I44" s="425" t="s">
        <v>427</v>
      </c>
      <c r="J44" s="295">
        <v>0</v>
      </c>
      <c r="K44" s="795"/>
    </row>
    <row r="45" spans="1:11" ht="12.75" hidden="1" customHeight="1" x14ac:dyDescent="0.25">
      <c r="A45" s="97">
        <v>4.3</v>
      </c>
      <c r="B45" s="840" t="s">
        <v>1102</v>
      </c>
      <c r="C45" s="284">
        <f>VLOOKUP(C3,'Tra định mức'!B379:N383,13,FALSE)*1/100</f>
        <v>3.2029999999999996E-2</v>
      </c>
      <c r="D45" s="367"/>
      <c r="E45" s="380" t="s">
        <v>575</v>
      </c>
      <c r="F45" s="444">
        <v>0</v>
      </c>
      <c r="G45" s="444">
        <f t="shared" si="3"/>
        <v>0</v>
      </c>
      <c r="H45" s="444">
        <f t="shared" si="4"/>
        <v>0</v>
      </c>
      <c r="I45" s="425" t="s">
        <v>567</v>
      </c>
      <c r="J45" s="295">
        <v>0</v>
      </c>
      <c r="K45" s="795"/>
    </row>
    <row r="46" spans="1:11" ht="12.75" hidden="1" customHeight="1" x14ac:dyDescent="0.25">
      <c r="A46" s="425">
        <v>4.3099999999999996</v>
      </c>
      <c r="B46" s="840" t="s">
        <v>1345</v>
      </c>
      <c r="C46" s="284">
        <v>3.6700000000000001E-3</v>
      </c>
      <c r="D46" s="367"/>
      <c r="E46" s="380" t="s">
        <v>1435</v>
      </c>
      <c r="F46" s="444">
        <v>0</v>
      </c>
      <c r="G46" s="444">
        <f t="shared" si="3"/>
        <v>0</v>
      </c>
      <c r="H46" s="444">
        <f t="shared" si="4"/>
        <v>0</v>
      </c>
      <c r="I46" s="425" t="s">
        <v>891</v>
      </c>
      <c r="J46" s="295">
        <v>0</v>
      </c>
      <c r="K46" s="795"/>
    </row>
    <row r="47" spans="1:11" ht="12.75" hidden="1" customHeight="1" x14ac:dyDescent="0.25">
      <c r="A47" s="425">
        <v>4.32</v>
      </c>
      <c r="B47" s="840" t="s">
        <v>63</v>
      </c>
      <c r="C47" s="284">
        <v>0.3</v>
      </c>
      <c r="D47" s="367"/>
      <c r="E47" s="380" t="s">
        <v>1248</v>
      </c>
      <c r="F47" s="444">
        <v>272870</v>
      </c>
      <c r="G47" s="444">
        <f t="shared" si="3"/>
        <v>27287</v>
      </c>
      <c r="H47" s="444">
        <f t="shared" si="4"/>
        <v>300157</v>
      </c>
      <c r="I47" s="425" t="s">
        <v>1273</v>
      </c>
      <c r="J47" s="295">
        <v>0</v>
      </c>
      <c r="K47" s="795"/>
    </row>
    <row r="48" spans="1:11" ht="12.75" hidden="1" customHeight="1" x14ac:dyDescent="0.25">
      <c r="A48" s="425">
        <v>4.33</v>
      </c>
      <c r="B48" s="840" t="s">
        <v>99</v>
      </c>
      <c r="C48" s="284">
        <v>0.6</v>
      </c>
      <c r="D48" s="367"/>
      <c r="E48" s="380" t="s">
        <v>1248</v>
      </c>
      <c r="F48" s="444">
        <v>545740</v>
      </c>
      <c r="G48" s="444">
        <f t="shared" si="3"/>
        <v>54574</v>
      </c>
      <c r="H48" s="444">
        <f t="shared" si="4"/>
        <v>600314</v>
      </c>
      <c r="I48" s="425" t="s">
        <v>724</v>
      </c>
      <c r="J48" s="295">
        <v>0</v>
      </c>
      <c r="K48" s="795"/>
    </row>
    <row r="49" spans="1:11" ht="12.75" hidden="1" customHeight="1" x14ac:dyDescent="0.25">
      <c r="A49" s="425">
        <v>4.34</v>
      </c>
      <c r="B49" s="840" t="s">
        <v>792</v>
      </c>
      <c r="C49" s="284">
        <v>8.4399999999999996E-3</v>
      </c>
      <c r="D49" s="367"/>
      <c r="E49" s="380" t="s">
        <v>1435</v>
      </c>
      <c r="F49" s="444">
        <v>0</v>
      </c>
      <c r="G49" s="444">
        <f t="shared" si="3"/>
        <v>0</v>
      </c>
      <c r="H49" s="444">
        <f t="shared" si="4"/>
        <v>0</v>
      </c>
      <c r="I49" s="425" t="s">
        <v>467</v>
      </c>
      <c r="J49" s="295">
        <v>0</v>
      </c>
      <c r="K49" s="795"/>
    </row>
    <row r="50" spans="1:11" ht="15" customHeight="1" x14ac:dyDescent="0.25">
      <c r="A50" s="761">
        <v>5</v>
      </c>
      <c r="B50" s="287" t="s">
        <v>214</v>
      </c>
      <c r="C50" s="639"/>
      <c r="D50" s="705"/>
      <c r="E50" s="346"/>
      <c r="F50" s="406">
        <v>1708194</v>
      </c>
      <c r="G50" s="406">
        <f>SUMIF(J51:J58,1,G51:G58)</f>
        <v>0</v>
      </c>
      <c r="H50" s="406">
        <f>SUMIF(J51:J58,1,H51:H58)</f>
        <v>1708194</v>
      </c>
      <c r="I50" s="761" t="s">
        <v>57</v>
      </c>
      <c r="J50" s="295">
        <v>1</v>
      </c>
      <c r="K50" s="795"/>
    </row>
    <row r="51" spans="1:11" ht="12.75" hidden="1" customHeight="1" x14ac:dyDescent="0.25">
      <c r="A51" s="425">
        <v>5.0999999999999996</v>
      </c>
      <c r="B51" s="840" t="s">
        <v>411</v>
      </c>
      <c r="C51" s="284"/>
      <c r="D51" s="367"/>
      <c r="E51" s="380" t="s">
        <v>306</v>
      </c>
      <c r="F51" s="444"/>
      <c r="G51" s="444">
        <f t="shared" ref="G51:G52" si="5">ROUND(F51*10%,0)</f>
        <v>0</v>
      </c>
      <c r="H51" s="444">
        <f t="shared" ref="H51:H58" si="6">F51+G51</f>
        <v>0</v>
      </c>
      <c r="I51" s="425" t="s">
        <v>1000</v>
      </c>
      <c r="J51" s="295">
        <v>0</v>
      </c>
      <c r="K51" s="795"/>
    </row>
    <row r="52" spans="1:11" ht="12.75" hidden="1" customHeight="1" x14ac:dyDescent="0.25">
      <c r="A52" s="425">
        <v>5.2</v>
      </c>
      <c r="B52" s="840" t="s">
        <v>322</v>
      </c>
      <c r="C52" s="284">
        <f>VLOOKUP(C3,'Tra định mức'!B138:L142,11,FALSE)*1/100</f>
        <v>1.09E-3</v>
      </c>
      <c r="D52" s="367"/>
      <c r="E52" s="380" t="s">
        <v>575</v>
      </c>
      <c r="F52" s="444">
        <v>0</v>
      </c>
      <c r="G52" s="444">
        <f t="shared" si="5"/>
        <v>0</v>
      </c>
      <c r="H52" s="444">
        <f t="shared" si="6"/>
        <v>0</v>
      </c>
      <c r="I52" s="425" t="s">
        <v>1094</v>
      </c>
      <c r="J52" s="295">
        <v>0</v>
      </c>
      <c r="K52" s="795"/>
    </row>
    <row r="53" spans="1:11" ht="15" customHeight="1" x14ac:dyDescent="0.25">
      <c r="A53" s="425">
        <v>5.3</v>
      </c>
      <c r="B53" s="840" t="s">
        <v>709</v>
      </c>
      <c r="C53" s="284">
        <f>VLOOKUP(C3,'Tra định mức'!B157:L161,11,FALSE)*1/100</f>
        <v>1.06E-3</v>
      </c>
      <c r="D53" s="367"/>
      <c r="E53" s="380" t="s">
        <v>575</v>
      </c>
      <c r="F53" s="444">
        <v>0</v>
      </c>
      <c r="G53" s="444">
        <v>0</v>
      </c>
      <c r="H53" s="444">
        <f t="shared" si="6"/>
        <v>0</v>
      </c>
      <c r="I53" s="425" t="s">
        <v>816</v>
      </c>
      <c r="J53" s="295">
        <v>1</v>
      </c>
      <c r="K53" s="795"/>
    </row>
    <row r="54" spans="1:11" ht="12.75" hidden="1" customHeight="1" x14ac:dyDescent="0.25">
      <c r="A54" s="425">
        <v>5.4</v>
      </c>
      <c r="B54" s="840" t="s">
        <v>661</v>
      </c>
      <c r="C54" s="284">
        <v>1.9000000000000001E-4</v>
      </c>
      <c r="D54" s="367"/>
      <c r="E54" s="380" t="s">
        <v>299</v>
      </c>
      <c r="F54" s="444" t="s">
        <v>643</v>
      </c>
      <c r="G54" s="444" t="e">
        <f>ROUND(F54*10%,0)</f>
        <v>#VALUE!</v>
      </c>
      <c r="H54" s="444" t="e">
        <f t="shared" si="6"/>
        <v>#VALUE!</v>
      </c>
      <c r="I54" s="425" t="s">
        <v>848</v>
      </c>
      <c r="J54" s="295">
        <v>0</v>
      </c>
      <c r="K54" s="795"/>
    </row>
    <row r="55" spans="1:11" ht="15" customHeight="1" x14ac:dyDescent="0.25">
      <c r="A55" s="425">
        <v>5.5</v>
      </c>
      <c r="B55" s="840" t="s">
        <v>397</v>
      </c>
      <c r="C55" s="284">
        <f>'Tra định mức'!J438</f>
        <v>5.7000000000000002E-3</v>
      </c>
      <c r="D55" s="367"/>
      <c r="E55" s="380" t="s">
        <v>1266</v>
      </c>
      <c r="F55" s="444">
        <v>1708194</v>
      </c>
      <c r="G55" s="444"/>
      <c r="H55" s="444">
        <f t="shared" si="6"/>
        <v>1708194</v>
      </c>
      <c r="I55" s="425" t="s">
        <v>1239</v>
      </c>
      <c r="J55" s="295">
        <v>1</v>
      </c>
      <c r="K55" s="795"/>
    </row>
    <row r="56" spans="1:11" ht="12.75" hidden="1" customHeight="1" x14ac:dyDescent="0.25">
      <c r="A56" s="425">
        <v>5.6</v>
      </c>
      <c r="B56" s="840" t="s">
        <v>718</v>
      </c>
      <c r="C56" s="284">
        <f>'Tra định mức'!J437</f>
        <v>9.5999999999999992E-3</v>
      </c>
      <c r="D56" s="367"/>
      <c r="E56" s="380" t="s">
        <v>1266</v>
      </c>
      <c r="F56" s="444">
        <v>2876958</v>
      </c>
      <c r="G56" s="444">
        <f t="shared" ref="G56:G58" si="7">ROUND(F56*10%,0)</f>
        <v>287696</v>
      </c>
      <c r="H56" s="444">
        <f t="shared" si="6"/>
        <v>3164654</v>
      </c>
      <c r="I56" s="425" t="s">
        <v>592</v>
      </c>
      <c r="J56" s="295">
        <v>0</v>
      </c>
      <c r="K56" s="795"/>
    </row>
    <row r="57" spans="1:11" ht="12.75" hidden="1" customHeight="1" x14ac:dyDescent="0.25">
      <c r="A57" s="425">
        <v>5.7</v>
      </c>
      <c r="B57" s="840" t="s">
        <v>787</v>
      </c>
      <c r="C57" s="284">
        <v>0</v>
      </c>
      <c r="D57" s="367"/>
      <c r="E57" s="380" t="s">
        <v>575</v>
      </c>
      <c r="F57" s="444">
        <v>0</v>
      </c>
      <c r="G57" s="444">
        <f t="shared" si="7"/>
        <v>0</v>
      </c>
      <c r="H57" s="444">
        <f t="shared" si="6"/>
        <v>0</v>
      </c>
      <c r="I57" s="425" t="s">
        <v>476</v>
      </c>
      <c r="J57" s="295">
        <v>0</v>
      </c>
      <c r="K57" s="795"/>
    </row>
    <row r="58" spans="1:11" ht="12.75" hidden="1" customHeight="1" x14ac:dyDescent="0.25">
      <c r="A58" s="425">
        <v>5.8</v>
      </c>
      <c r="B58" s="840" t="s">
        <v>803</v>
      </c>
      <c r="C58" s="284">
        <f>VLOOKUP(C3,'Tra định mức'!B414:I418,8,FALSE)*1/100</f>
        <v>6.7100000000000005E-5</v>
      </c>
      <c r="D58" s="367"/>
      <c r="E58" s="380" t="s">
        <v>299</v>
      </c>
      <c r="F58" s="444">
        <v>500000</v>
      </c>
      <c r="G58" s="444">
        <f t="shared" si="7"/>
        <v>50000</v>
      </c>
      <c r="H58" s="444">
        <f t="shared" si="6"/>
        <v>550000</v>
      </c>
      <c r="I58" s="425" t="s">
        <v>75</v>
      </c>
      <c r="J58" s="295">
        <v>0</v>
      </c>
      <c r="K58" s="795"/>
    </row>
    <row r="59" spans="1:11" ht="15" customHeight="1" x14ac:dyDescent="0.25">
      <c r="A59" s="761">
        <v>6</v>
      </c>
      <c r="B59" s="287" t="s">
        <v>808</v>
      </c>
      <c r="C59" s="639"/>
      <c r="D59" s="705"/>
      <c r="E59" s="346" t="s">
        <v>871</v>
      </c>
      <c r="F59" s="406">
        <v>85410</v>
      </c>
      <c r="G59" s="406">
        <f t="shared" ref="G59:H59" si="8">G60+G61</f>
        <v>8541</v>
      </c>
      <c r="H59" s="406">
        <f t="shared" si="8"/>
        <v>93951</v>
      </c>
      <c r="I59" s="761" t="s">
        <v>1179</v>
      </c>
      <c r="J59" s="295">
        <v>1</v>
      </c>
      <c r="K59" s="79">
        <v>15392920</v>
      </c>
    </row>
    <row r="60" spans="1:11" ht="28.15" customHeight="1" x14ac:dyDescent="0.25">
      <c r="A60" s="425">
        <v>6.1</v>
      </c>
      <c r="B60" s="840" t="s">
        <v>826</v>
      </c>
      <c r="C60" s="284">
        <v>0.05</v>
      </c>
      <c r="D60" s="367"/>
      <c r="E60" s="380" t="s">
        <v>536</v>
      </c>
      <c r="F60" s="444">
        <v>85410</v>
      </c>
      <c r="G60" s="444">
        <f>ROUND(F60*10%,0)</f>
        <v>8541</v>
      </c>
      <c r="H60" s="444">
        <f>F60+G60</f>
        <v>93951</v>
      </c>
      <c r="I60" s="425" t="s">
        <v>1255</v>
      </c>
      <c r="J60" s="295">
        <v>1</v>
      </c>
      <c r="K60" s="795"/>
    </row>
    <row r="61" spans="1:11" ht="12.75" hidden="1" customHeight="1" x14ac:dyDescent="0.25">
      <c r="A61" s="425">
        <v>6.2</v>
      </c>
      <c r="B61" s="840" t="s">
        <v>292</v>
      </c>
      <c r="C61" s="284">
        <f>ROUND(H61/H62,5)</f>
        <v>0</v>
      </c>
      <c r="D61" s="367"/>
      <c r="E61" s="380"/>
      <c r="F61" s="444"/>
      <c r="G61" s="444"/>
      <c r="H61" s="444">
        <f>'Trượt giá'!E23</f>
        <v>0</v>
      </c>
      <c r="I61" s="425" t="s">
        <v>141</v>
      </c>
      <c r="J61" s="295">
        <v>0</v>
      </c>
      <c r="K61" s="795"/>
    </row>
    <row r="62" spans="1:11" ht="15" customHeight="1" x14ac:dyDescent="0.25">
      <c r="A62" s="425"/>
      <c r="B62" s="287" t="s">
        <v>1197</v>
      </c>
      <c r="C62" s="639"/>
      <c r="D62" s="705"/>
      <c r="E62" s="346" t="s">
        <v>44</v>
      </c>
      <c r="F62" s="406">
        <v>1793608</v>
      </c>
      <c r="G62" s="406">
        <f>ROUND(G9+G11+G12+G13+G50+G59,0)</f>
        <v>91490716</v>
      </c>
      <c r="H62" s="406">
        <f>SUMIF(J9,"&gt;0",H9)+SUMIF(J11,"&gt;0",H11)+SUMIF(J12,"&gt;0",H12)+SUMIF(J13,"&gt;0",H13)+SUMIF(J50,"&gt;0",H50)+SUMIF(J59,"&gt;0",H59)</f>
        <v>1236811502.6523099</v>
      </c>
      <c r="I62" s="761" t="s">
        <v>203</v>
      </c>
      <c r="J62" s="295">
        <v>1</v>
      </c>
      <c r="K62" s="795"/>
    </row>
    <row r="63" spans="1:11" ht="15" customHeight="1" x14ac:dyDescent="0.25">
      <c r="A63" s="685"/>
      <c r="B63" s="205" t="s">
        <v>77</v>
      </c>
      <c r="C63" s="540"/>
      <c r="D63" s="628"/>
      <c r="E63" s="648" t="s">
        <v>306</v>
      </c>
      <c r="F63" s="706"/>
      <c r="G63" s="706"/>
      <c r="H63" s="706">
        <f>ROUND(H62,-3)</f>
        <v>1236812000</v>
      </c>
      <c r="I63" s="685" t="s">
        <v>1029</v>
      </c>
      <c r="J63" s="295"/>
      <c r="K63" s="79">
        <v>4</v>
      </c>
    </row>
    <row r="64" spans="1:11" ht="15.4" customHeight="1" x14ac:dyDescent="0.25">
      <c r="A64" s="1144" t="s">
        <v>580</v>
      </c>
      <c r="B64" s="1145"/>
      <c r="C64" s="1145"/>
      <c r="D64" s="1145"/>
      <c r="E64" s="1145"/>
      <c r="F64" s="1145"/>
      <c r="G64" s="1145"/>
      <c r="H64" s="1146"/>
      <c r="I64" s="440"/>
      <c r="J64" s="295"/>
      <c r="K64" s="795"/>
    </row>
    <row r="65" spans="1:11" ht="14.1" customHeight="1" x14ac:dyDescent="0.25">
      <c r="A65" s="847"/>
      <c r="B65" s="795"/>
      <c r="C65" s="165"/>
      <c r="D65" s="795"/>
      <c r="E65" s="325"/>
      <c r="F65" s="795"/>
      <c r="G65" s="795"/>
      <c r="H65" s="795"/>
      <c r="I65" s="847"/>
      <c r="J65" s="295"/>
      <c r="K65" s="795"/>
    </row>
    <row r="66" spans="1:11" ht="14.1" customHeight="1" x14ac:dyDescent="0.25">
      <c r="A66" s="847"/>
      <c r="B66" s="363" t="s">
        <v>162</v>
      </c>
      <c r="C66" s="574"/>
      <c r="D66" s="294"/>
      <c r="E66" s="353"/>
      <c r="F66" s="1148" t="s">
        <v>1375</v>
      </c>
      <c r="G66" s="1148"/>
      <c r="H66" s="1148"/>
      <c r="I66" s="847"/>
      <c r="J66" s="295"/>
      <c r="K66" s="795"/>
    </row>
    <row r="67" spans="1:11" ht="14.1" customHeight="1" x14ac:dyDescent="0.25">
      <c r="A67" s="847"/>
      <c r="B67" s="6"/>
      <c r="C67" s="222"/>
      <c r="D67" s="160"/>
      <c r="E67" s="385"/>
      <c r="F67" s="160"/>
      <c r="G67" s="160"/>
      <c r="H67" s="160"/>
      <c r="I67" s="847"/>
      <c r="J67" s="295"/>
      <c r="K67" s="795"/>
    </row>
    <row r="68" spans="1:11" ht="14.1" customHeight="1" x14ac:dyDescent="0.25">
      <c r="A68" s="847"/>
      <c r="B68" s="6"/>
      <c r="C68" s="222"/>
      <c r="D68" s="160"/>
      <c r="E68" s="385"/>
      <c r="F68" s="160"/>
      <c r="G68" s="160"/>
      <c r="H68" s="160"/>
      <c r="I68" s="847"/>
      <c r="J68" s="295"/>
      <c r="K68" s="795"/>
    </row>
    <row r="69" spans="1:11" ht="14.1" customHeight="1" x14ac:dyDescent="0.25">
      <c r="A69" s="847"/>
      <c r="B69" s="6"/>
      <c r="C69" s="222"/>
      <c r="D69" s="160"/>
      <c r="E69" s="385"/>
      <c r="F69" s="160"/>
      <c r="G69" s="160"/>
      <c r="H69" s="160"/>
      <c r="I69" s="847"/>
      <c r="J69" s="295"/>
      <c r="K69" s="795"/>
    </row>
    <row r="70" spans="1:11" ht="14.1" customHeight="1" x14ac:dyDescent="0.25">
      <c r="A70" s="847"/>
      <c r="B70" s="6"/>
      <c r="C70" s="222"/>
      <c r="D70" s="160"/>
      <c r="E70" s="385"/>
      <c r="F70" s="160"/>
      <c r="G70" s="160"/>
      <c r="H70" s="160"/>
      <c r="I70" s="847"/>
      <c r="J70" s="295"/>
      <c r="K70" s="795"/>
    </row>
    <row r="71" spans="1:11" ht="14.1" customHeight="1" x14ac:dyDescent="0.25">
      <c r="A71" s="847"/>
      <c r="B71" s="6" t="s">
        <v>919</v>
      </c>
      <c r="C71" s="222"/>
      <c r="D71" s="160"/>
      <c r="E71" s="385"/>
      <c r="F71" s="1141" t="s">
        <v>919</v>
      </c>
      <c r="G71" s="1141"/>
      <c r="H71" s="1141"/>
      <c r="I71" s="847"/>
      <c r="J71" s="295"/>
      <c r="K71" s="795"/>
    </row>
    <row r="72" spans="1:11" ht="14.1" customHeight="1" x14ac:dyDescent="0.25">
      <c r="A72" s="847"/>
      <c r="B72" s="6" t="s">
        <v>693</v>
      </c>
      <c r="C72" s="222"/>
      <c r="D72" s="160"/>
      <c r="E72" s="385"/>
      <c r="F72" s="1141" t="s">
        <v>1109</v>
      </c>
      <c r="G72" s="1141"/>
      <c r="H72" s="1141"/>
      <c r="I72" s="847"/>
      <c r="J72" s="295"/>
      <c r="K72" s="795"/>
    </row>
    <row r="73" spans="1:11" ht="14.1" customHeight="1" x14ac:dyDescent="0.25">
      <c r="A73" s="847"/>
      <c r="B73" s="160"/>
      <c r="C73" s="222"/>
      <c r="D73" s="160"/>
      <c r="E73" s="385"/>
      <c r="F73" s="1141" t="s">
        <v>126</v>
      </c>
      <c r="G73" s="1141"/>
      <c r="H73" s="1141"/>
      <c r="I73" s="847"/>
      <c r="J73" s="295"/>
      <c r="K73" s="795"/>
    </row>
    <row r="74" spans="1:11" ht="14.1" customHeight="1" x14ac:dyDescent="0.25">
      <c r="A74" s="847"/>
      <c r="B74" s="160"/>
      <c r="C74" s="222"/>
      <c r="D74" s="160"/>
      <c r="E74" s="385"/>
      <c r="F74" s="160"/>
      <c r="G74" s="160"/>
      <c r="H74" s="160"/>
      <c r="I74" s="847"/>
      <c r="J74" s="295"/>
      <c r="K74" s="795"/>
    </row>
  </sheetData>
  <mergeCells count="8">
    <mergeCell ref="F73:H73"/>
    <mergeCell ref="A1:H1"/>
    <mergeCell ref="A2:H2"/>
    <mergeCell ref="A64:H64"/>
    <mergeCell ref="G7:H7"/>
    <mergeCell ref="F66:H66"/>
    <mergeCell ref="F71:H71"/>
    <mergeCell ref="F72:H72"/>
  </mergeCells>
  <dataValidations count="3">
    <dataValidation type="list" allowBlank="1" showInputMessage="1" showErrorMessage="1" sqref="C3" xr:uid="{00000000-0002-0000-1200-000000000000}">
      <formula1>loaiCongTrinh</formula1>
    </dataValidation>
    <dataValidation type="list" allowBlank="1" showInputMessage="1" showErrorMessage="1" sqref="C5" xr:uid="{00000000-0002-0000-1200-000001000000}">
      <formula1>capCongTrinh</formula1>
    </dataValidation>
    <dataValidation type="list" allowBlank="1" showInputMessage="1" showErrorMessage="1" sqref="C4:D4" xr:uid="{00000000-0002-0000-1200-000002000000}">
      <formula1>loaiThietKe</formula1>
    </dataValidation>
  </dataValidations>
  <pageMargins left="0.7" right="0.7" top="0.75" bottom="0.75" header="0.3" footer="0.3"/>
  <pageSetup paperSize="9" scale="75"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2"/>
  </sheetPr>
  <dimension ref="A1:AA21"/>
  <sheetViews>
    <sheetView showZeros="0" topLeftCell="B1" workbookViewId="0">
      <selection activeCell="E15" sqref="E15"/>
    </sheetView>
  </sheetViews>
  <sheetFormatPr defaultColWidth="9.140625" defaultRowHeight="15" x14ac:dyDescent="0.25"/>
  <cols>
    <col min="1" max="1" width="5.140625" style="794" hidden="1" customWidth="1"/>
    <col min="2" max="2" width="4.7109375" style="794" bestFit="1" customWidth="1"/>
    <col min="3" max="3" width="8" style="794" bestFit="1" customWidth="1"/>
    <col min="4" max="4" width="10.85546875" style="794" hidden="1" customWidth="1"/>
    <col min="5" max="5" width="46.85546875" style="794" customWidth="1"/>
    <col min="6" max="6" width="7.28515625" style="794" customWidth="1"/>
    <col min="7" max="7" width="10.42578125" style="794" customWidth="1"/>
    <col min="8" max="9" width="9.140625" style="794" hidden="1" customWidth="1"/>
    <col min="10" max="10" width="9" style="794" customWidth="1"/>
    <col min="11" max="11" width="9.140625" style="794" hidden="1" customWidth="1"/>
    <col min="12" max="12" width="12.7109375" style="794" hidden="1" customWidth="1"/>
    <col min="13" max="13" width="9.28515625" style="794" hidden="1" customWidth="1"/>
    <col min="14" max="14" width="12.7109375" style="794" customWidth="1"/>
    <col min="15" max="15" width="10" style="794" hidden="1" customWidth="1"/>
    <col min="16" max="16" width="8.85546875" style="794" hidden="1" customWidth="1"/>
    <col min="17" max="20" width="12.7109375" style="794" hidden="1" customWidth="1"/>
    <col min="21" max="21" width="12.7109375" style="794" customWidth="1"/>
    <col min="22" max="22" width="9.28515625" style="794" customWidth="1"/>
    <col min="23" max="16384" width="9.140625" style="794"/>
  </cols>
  <sheetData>
    <row r="1" spans="1:27" ht="18.75" x14ac:dyDescent="0.3">
      <c r="B1" s="1081" t="s">
        <v>350</v>
      </c>
      <c r="C1" s="1081"/>
      <c r="D1" s="1081"/>
      <c r="E1" s="1081"/>
      <c r="F1" s="1081"/>
      <c r="G1" s="1081"/>
      <c r="H1" s="1081"/>
      <c r="I1" s="1081"/>
      <c r="J1" s="1081"/>
      <c r="K1" s="1081"/>
      <c r="L1" s="1081"/>
      <c r="M1" s="1081"/>
      <c r="N1" s="1081"/>
      <c r="O1" s="1081"/>
      <c r="P1" s="1081"/>
      <c r="Q1" s="1081"/>
      <c r="R1" s="1081"/>
      <c r="S1" s="1081"/>
      <c r="T1" s="1081"/>
      <c r="U1" s="1081"/>
      <c r="V1" s="1081"/>
    </row>
    <row r="2" spans="1:27" x14ac:dyDescent="0.25">
      <c r="B2" s="1097" t="s">
        <v>199</v>
      </c>
      <c r="C2" s="1097"/>
      <c r="D2" s="1097"/>
      <c r="E2" s="1097"/>
      <c r="F2" s="1097"/>
      <c r="G2" s="1097"/>
      <c r="H2" s="1097"/>
      <c r="I2" s="1097"/>
      <c r="J2" s="1097"/>
      <c r="K2" s="1097"/>
      <c r="L2" s="1097"/>
      <c r="M2" s="1097"/>
      <c r="N2" s="1097"/>
      <c r="O2" s="1097"/>
      <c r="P2" s="1097"/>
      <c r="Q2" s="1097"/>
      <c r="R2" s="1097"/>
      <c r="S2" s="1097"/>
      <c r="T2" s="1097"/>
      <c r="U2" s="1097"/>
      <c r="V2" s="1097"/>
    </row>
    <row r="3" spans="1:27" x14ac:dyDescent="0.25">
      <c r="B3" s="1098" t="s">
        <v>354</v>
      </c>
      <c r="C3" s="1098"/>
      <c r="D3" s="1098"/>
      <c r="E3" s="1098"/>
      <c r="F3" s="1098"/>
      <c r="G3" s="1098"/>
      <c r="H3" s="1098"/>
      <c r="I3" s="1098"/>
      <c r="J3" s="1098"/>
      <c r="K3" s="1098"/>
      <c r="L3" s="1098"/>
      <c r="M3" s="1098"/>
      <c r="N3" s="1098"/>
      <c r="O3" s="1098"/>
      <c r="P3" s="1098"/>
      <c r="Q3" s="1098"/>
      <c r="R3" s="1098"/>
      <c r="S3" s="1098"/>
      <c r="T3" s="1098"/>
      <c r="U3" s="1098"/>
      <c r="V3" s="1098"/>
    </row>
    <row r="4" spans="1:27" ht="19.5" customHeight="1" x14ac:dyDescent="0.25">
      <c r="B4" s="288" t="s">
        <v>1323</v>
      </c>
      <c r="C4" s="288" t="s">
        <v>876</v>
      </c>
      <c r="D4" s="288"/>
      <c r="E4" s="288" t="s">
        <v>275</v>
      </c>
      <c r="F4" s="288" t="s">
        <v>1448</v>
      </c>
      <c r="G4" s="288" t="s">
        <v>1446</v>
      </c>
      <c r="H4" s="288"/>
      <c r="I4" s="288"/>
      <c r="J4" s="288" t="s">
        <v>1313</v>
      </c>
      <c r="K4" s="288" t="s">
        <v>860</v>
      </c>
      <c r="L4" s="288" t="s">
        <v>965</v>
      </c>
      <c r="M4" s="288" t="s">
        <v>1026</v>
      </c>
      <c r="N4" s="288" t="s">
        <v>563</v>
      </c>
      <c r="O4" s="288" t="s">
        <v>1007</v>
      </c>
      <c r="P4" s="288" t="s">
        <v>995</v>
      </c>
      <c r="Q4" s="288" t="s">
        <v>465</v>
      </c>
      <c r="R4" s="288"/>
      <c r="S4" s="288" t="s">
        <v>815</v>
      </c>
      <c r="T4" s="288" t="s">
        <v>984</v>
      </c>
      <c r="U4" s="288" t="s">
        <v>502</v>
      </c>
      <c r="V4" s="288" t="s">
        <v>1192</v>
      </c>
      <c r="W4" s="288" t="s">
        <v>1056</v>
      </c>
      <c r="X4" s="874"/>
      <c r="Y4" s="874"/>
      <c r="Z4" s="874"/>
      <c r="AA4" s="874"/>
    </row>
    <row r="5" spans="1:27" x14ac:dyDescent="0.25">
      <c r="A5" s="61"/>
      <c r="B5" s="180">
        <v>1</v>
      </c>
      <c r="C5" s="522" t="s">
        <v>258</v>
      </c>
      <c r="D5" s="155"/>
      <c r="E5" s="155" t="s">
        <v>1061</v>
      </c>
      <c r="F5" s="180" t="s">
        <v>28</v>
      </c>
      <c r="G5" s="818">
        <v>1050000</v>
      </c>
      <c r="H5" s="818"/>
      <c r="I5" s="818"/>
      <c r="J5" s="400">
        <v>1050000</v>
      </c>
      <c r="K5" s="338">
        <v>1</v>
      </c>
      <c r="L5" s="818">
        <f t="shared" ref="L5:L19" si="0">J5*K5</f>
        <v>1050000</v>
      </c>
      <c r="M5" s="818">
        <f>'Cước ô tô'!Y9</f>
        <v>0</v>
      </c>
      <c r="N5" s="818">
        <f>'Cước ô tô mới'!AO6</f>
        <v>0</v>
      </c>
      <c r="O5" s="818">
        <f>'Cước sông'!P6</f>
        <v>0</v>
      </c>
      <c r="P5" s="818">
        <f>'Cước TC'!S6</f>
        <v>0</v>
      </c>
      <c r="Q5" s="818"/>
      <c r="R5" s="818"/>
      <c r="S5" s="818">
        <v>0</v>
      </c>
      <c r="T5" s="818"/>
      <c r="U5" s="818">
        <f t="shared" ref="U5:U19" si="1">SUM(M5:T5)</f>
        <v>0</v>
      </c>
      <c r="V5" s="818">
        <f t="shared" ref="V5:V19" si="2">J5+U5</f>
        <v>1050000</v>
      </c>
      <c r="W5" s="155"/>
      <c r="X5" s="874"/>
      <c r="Y5" s="874"/>
      <c r="Z5" s="874"/>
      <c r="AA5" s="874"/>
    </row>
    <row r="6" spans="1:27" x14ac:dyDescent="0.25">
      <c r="A6" s="366"/>
      <c r="B6" s="469">
        <v>2</v>
      </c>
      <c r="C6" s="436" t="s">
        <v>1290</v>
      </c>
      <c r="D6" s="448"/>
      <c r="E6" s="448" t="s">
        <v>1204</v>
      </c>
      <c r="F6" s="469" t="s">
        <v>144</v>
      </c>
      <c r="G6" s="745">
        <v>220000</v>
      </c>
      <c r="H6" s="745"/>
      <c r="I6" s="745"/>
      <c r="J6" s="537">
        <v>250000</v>
      </c>
      <c r="K6" s="249">
        <v>1</v>
      </c>
      <c r="L6" s="745">
        <f t="shared" si="0"/>
        <v>250000</v>
      </c>
      <c r="M6" s="745">
        <f>'Cước ô tô'!Y10</f>
        <v>0</v>
      </c>
      <c r="N6" s="745">
        <f>'Cước ô tô mới'!AO7</f>
        <v>146476.16578799998</v>
      </c>
      <c r="O6" s="745">
        <f>'Cước sông'!P7</f>
        <v>0</v>
      </c>
      <c r="P6" s="745">
        <f>'Cước TC'!S7</f>
        <v>0</v>
      </c>
      <c r="Q6" s="745"/>
      <c r="R6" s="745"/>
      <c r="S6" s="745">
        <v>0</v>
      </c>
      <c r="T6" s="745"/>
      <c r="U6" s="745">
        <f t="shared" si="1"/>
        <v>146476.16578799998</v>
      </c>
      <c r="V6" s="745">
        <f t="shared" si="2"/>
        <v>396476.16578799998</v>
      </c>
      <c r="W6" s="448"/>
      <c r="X6" s="874"/>
      <c r="Y6" s="874"/>
      <c r="Z6" s="874"/>
      <c r="AA6" s="874"/>
    </row>
    <row r="7" spans="1:27" x14ac:dyDescent="0.25">
      <c r="A7" s="366"/>
      <c r="B7" s="469">
        <v>3</v>
      </c>
      <c r="C7" s="436" t="s">
        <v>1290</v>
      </c>
      <c r="D7" s="448"/>
      <c r="E7" s="448" t="s">
        <v>103</v>
      </c>
      <c r="F7" s="469" t="s">
        <v>144</v>
      </c>
      <c r="G7" s="745">
        <v>250000</v>
      </c>
      <c r="H7" s="745"/>
      <c r="I7" s="745"/>
      <c r="J7" s="318">
        <v>250000</v>
      </c>
      <c r="K7" s="249">
        <v>1</v>
      </c>
      <c r="L7" s="745">
        <f t="shared" si="0"/>
        <v>250000</v>
      </c>
      <c r="M7" s="745">
        <f>'Cước ô tô'!Y11</f>
        <v>0</v>
      </c>
      <c r="N7" s="745">
        <f>'Cước ô tô mới'!AO8</f>
        <v>146476.16578799998</v>
      </c>
      <c r="O7" s="745">
        <f>'Cước sông'!P8</f>
        <v>0</v>
      </c>
      <c r="P7" s="745">
        <f>'Cước TC'!S8</f>
        <v>0</v>
      </c>
      <c r="Q7" s="745"/>
      <c r="R7" s="745"/>
      <c r="S7" s="745">
        <v>0</v>
      </c>
      <c r="T7" s="745"/>
      <c r="U7" s="745">
        <f t="shared" si="1"/>
        <v>146476.16578799998</v>
      </c>
      <c r="V7" s="745">
        <f t="shared" si="2"/>
        <v>396476.16578799998</v>
      </c>
      <c r="W7" s="448"/>
      <c r="X7" s="874"/>
      <c r="Y7" s="874"/>
      <c r="Z7" s="874"/>
      <c r="AA7" s="874"/>
    </row>
    <row r="8" spans="1:27" x14ac:dyDescent="0.25">
      <c r="A8" s="366"/>
      <c r="B8" s="469">
        <v>4</v>
      </c>
      <c r="C8" s="436" t="s">
        <v>142</v>
      </c>
      <c r="D8" s="448"/>
      <c r="E8" s="448" t="s">
        <v>1204</v>
      </c>
      <c r="F8" s="469" t="s">
        <v>144</v>
      </c>
      <c r="G8" s="745">
        <v>220000</v>
      </c>
      <c r="H8" s="745"/>
      <c r="I8" s="745"/>
      <c r="J8" s="537">
        <v>250000</v>
      </c>
      <c r="K8" s="249">
        <v>1</v>
      </c>
      <c r="L8" s="745">
        <f t="shared" si="0"/>
        <v>250000</v>
      </c>
      <c r="M8" s="745">
        <f>'Cước ô tô'!Y12</f>
        <v>0</v>
      </c>
      <c r="N8" s="745">
        <f>'Cước ô tô mới'!AO9</f>
        <v>146476.16578799998</v>
      </c>
      <c r="O8" s="745">
        <f>'Cước sông'!P9</f>
        <v>0</v>
      </c>
      <c r="P8" s="745">
        <f>'Cước TC'!S9</f>
        <v>0</v>
      </c>
      <c r="Q8" s="745"/>
      <c r="R8" s="745"/>
      <c r="S8" s="745">
        <v>0</v>
      </c>
      <c r="T8" s="745"/>
      <c r="U8" s="745">
        <f t="shared" si="1"/>
        <v>146476.16578799998</v>
      </c>
      <c r="V8" s="745">
        <f t="shared" si="2"/>
        <v>396476.16578799998</v>
      </c>
      <c r="W8" s="448"/>
      <c r="X8" s="874"/>
      <c r="Y8" s="874"/>
      <c r="Z8" s="874"/>
      <c r="AA8" s="874"/>
    </row>
    <row r="9" spans="1:27" x14ac:dyDescent="0.25">
      <c r="A9" s="366"/>
      <c r="B9" s="469">
        <v>5</v>
      </c>
      <c r="C9" s="436" t="s">
        <v>95</v>
      </c>
      <c r="D9" s="448"/>
      <c r="E9" s="448" t="s">
        <v>630</v>
      </c>
      <c r="F9" s="469" t="s">
        <v>144</v>
      </c>
      <c r="G9" s="745">
        <v>560000</v>
      </c>
      <c r="H9" s="745"/>
      <c r="I9" s="745"/>
      <c r="J9" s="537">
        <v>800000</v>
      </c>
      <c r="K9" s="249">
        <v>1</v>
      </c>
      <c r="L9" s="745">
        <f t="shared" si="0"/>
        <v>800000</v>
      </c>
      <c r="M9" s="745">
        <f>'Cước ô tô'!Y13</f>
        <v>0</v>
      </c>
      <c r="N9" s="745">
        <f>'Cước ô tô mới'!AO10</f>
        <v>138105.0399376</v>
      </c>
      <c r="O9" s="745">
        <f>'Cước sông'!P10</f>
        <v>0</v>
      </c>
      <c r="P9" s="745">
        <f>'Cước TC'!S10</f>
        <v>0</v>
      </c>
      <c r="Q9" s="745"/>
      <c r="R9" s="745"/>
      <c r="S9" s="745">
        <v>0</v>
      </c>
      <c r="T9" s="745"/>
      <c r="U9" s="745">
        <f t="shared" si="1"/>
        <v>138105.0399376</v>
      </c>
      <c r="V9" s="745">
        <f t="shared" si="2"/>
        <v>938105.03993760003</v>
      </c>
      <c r="W9" s="448"/>
      <c r="X9" s="874"/>
      <c r="Y9" s="874"/>
      <c r="Z9" s="874"/>
      <c r="AA9" s="874"/>
    </row>
    <row r="10" spans="1:27" x14ac:dyDescent="0.25">
      <c r="A10" s="366"/>
      <c r="B10" s="469">
        <v>6</v>
      </c>
      <c r="C10" s="436" t="s">
        <v>193</v>
      </c>
      <c r="D10" s="448"/>
      <c r="E10" s="448" t="s">
        <v>759</v>
      </c>
      <c r="F10" s="469" t="s">
        <v>144</v>
      </c>
      <c r="G10" s="745">
        <v>140000</v>
      </c>
      <c r="H10" s="745"/>
      <c r="I10" s="745"/>
      <c r="J10" s="537">
        <v>280000</v>
      </c>
      <c r="K10" s="249">
        <v>1</v>
      </c>
      <c r="L10" s="745">
        <f t="shared" si="0"/>
        <v>280000</v>
      </c>
      <c r="M10" s="745">
        <f>'Cước ô tô'!Y14</f>
        <v>0</v>
      </c>
      <c r="N10" s="745">
        <f>'Cước ô tô mới'!AO12</f>
        <v>146476.16578799998</v>
      </c>
      <c r="O10" s="745">
        <f>'Cước sông'!P11</f>
        <v>0</v>
      </c>
      <c r="P10" s="745">
        <f>'Cước TC'!S11</f>
        <v>0</v>
      </c>
      <c r="Q10" s="745"/>
      <c r="R10" s="745"/>
      <c r="S10" s="745">
        <v>0</v>
      </c>
      <c r="T10" s="745"/>
      <c r="U10" s="745">
        <f t="shared" si="1"/>
        <v>146476.16578799998</v>
      </c>
      <c r="V10" s="745">
        <f t="shared" si="2"/>
        <v>426476.16578799998</v>
      </c>
      <c r="W10" s="448"/>
      <c r="X10" s="874"/>
      <c r="Y10" s="874"/>
      <c r="Z10" s="874"/>
      <c r="AA10" s="874"/>
    </row>
    <row r="11" spans="1:27" x14ac:dyDescent="0.25">
      <c r="A11" s="366"/>
      <c r="B11" s="469">
        <v>7</v>
      </c>
      <c r="C11" s="436" t="s">
        <v>1285</v>
      </c>
      <c r="D11" s="448"/>
      <c r="E11" s="448" t="s">
        <v>730</v>
      </c>
      <c r="F11" s="469" t="s">
        <v>1258</v>
      </c>
      <c r="G11" s="745">
        <v>4000</v>
      </c>
      <c r="H11" s="745"/>
      <c r="I11" s="745"/>
      <c r="J11" s="318">
        <v>4000</v>
      </c>
      <c r="K11" s="249">
        <v>1</v>
      </c>
      <c r="L11" s="745">
        <f t="shared" si="0"/>
        <v>4000</v>
      </c>
      <c r="M11" s="745">
        <f>'Cước ô tô'!Y15</f>
        <v>0</v>
      </c>
      <c r="N11" s="745">
        <f>'Cước ô tô mới'!AO13</f>
        <v>0</v>
      </c>
      <c r="O11" s="745">
        <f>'Cước sông'!P12</f>
        <v>0</v>
      </c>
      <c r="P11" s="745">
        <f>'Cước TC'!S12</f>
        <v>0</v>
      </c>
      <c r="Q11" s="745"/>
      <c r="R11" s="745"/>
      <c r="S11" s="745">
        <v>0</v>
      </c>
      <c r="T11" s="745"/>
      <c r="U11" s="745">
        <f t="shared" si="1"/>
        <v>0</v>
      </c>
      <c r="V11" s="745">
        <f t="shared" si="2"/>
        <v>4000</v>
      </c>
      <c r="W11" s="448"/>
      <c r="X11" s="874"/>
      <c r="Y11" s="874"/>
      <c r="Z11" s="874"/>
      <c r="AA11" s="874"/>
    </row>
    <row r="12" spans="1:27" x14ac:dyDescent="0.25">
      <c r="A12" s="366"/>
      <c r="B12" s="469">
        <v>8</v>
      </c>
      <c r="C12" s="436" t="s">
        <v>491</v>
      </c>
      <c r="D12" s="448"/>
      <c r="E12" s="448" t="s">
        <v>157</v>
      </c>
      <c r="F12" s="469" t="s">
        <v>144</v>
      </c>
      <c r="G12" s="745">
        <v>1700000</v>
      </c>
      <c r="H12" s="745"/>
      <c r="I12" s="745"/>
      <c r="J12" s="537">
        <v>2800000</v>
      </c>
      <c r="K12" s="249">
        <v>1</v>
      </c>
      <c r="L12" s="745">
        <f t="shared" si="0"/>
        <v>2800000</v>
      </c>
      <c r="M12" s="745">
        <f>'Cước ô tô'!Y16</f>
        <v>0</v>
      </c>
      <c r="N12" s="745">
        <f>'Cước ô tô mới'!AO14</f>
        <v>84202.070811600002</v>
      </c>
      <c r="O12" s="745">
        <f>'Cước sông'!P13</f>
        <v>0</v>
      </c>
      <c r="P12" s="745">
        <f>'Cước TC'!S13</f>
        <v>0</v>
      </c>
      <c r="Q12" s="745"/>
      <c r="R12" s="745"/>
      <c r="S12" s="745">
        <v>0</v>
      </c>
      <c r="T12" s="745"/>
      <c r="U12" s="745">
        <f t="shared" si="1"/>
        <v>84202.070811600002</v>
      </c>
      <c r="V12" s="745">
        <f t="shared" si="2"/>
        <v>2884202.0708116</v>
      </c>
      <c r="W12" s="448"/>
      <c r="X12" s="874"/>
      <c r="Y12" s="874"/>
      <c r="Z12" s="874"/>
      <c r="AA12" s="874"/>
    </row>
    <row r="13" spans="1:27" x14ac:dyDescent="0.25">
      <c r="A13" s="366"/>
      <c r="B13" s="469">
        <v>9</v>
      </c>
      <c r="C13" s="436" t="s">
        <v>496</v>
      </c>
      <c r="D13" s="448"/>
      <c r="E13" s="448" t="s">
        <v>309</v>
      </c>
      <c r="F13" s="469" t="s">
        <v>418</v>
      </c>
      <c r="G13" s="745">
        <v>45000</v>
      </c>
      <c r="H13" s="745"/>
      <c r="I13" s="745"/>
      <c r="J13" s="318">
        <v>45000</v>
      </c>
      <c r="K13" s="249">
        <v>1</v>
      </c>
      <c r="L13" s="745">
        <f t="shared" si="0"/>
        <v>45000</v>
      </c>
      <c r="M13" s="745">
        <f>'Cước ô tô'!Y17</f>
        <v>0</v>
      </c>
      <c r="N13" s="745">
        <f>'Cước ô tô mới'!AO16</f>
        <v>0</v>
      </c>
      <c r="O13" s="745">
        <f>'Cước sông'!P14</f>
        <v>0</v>
      </c>
      <c r="P13" s="745">
        <f>'Cước TC'!S14</f>
        <v>0</v>
      </c>
      <c r="Q13" s="745"/>
      <c r="R13" s="745"/>
      <c r="S13" s="745">
        <v>0</v>
      </c>
      <c r="T13" s="745"/>
      <c r="U13" s="745">
        <f t="shared" si="1"/>
        <v>0</v>
      </c>
      <c r="V13" s="745">
        <f t="shared" si="2"/>
        <v>45000</v>
      </c>
      <c r="W13" s="448"/>
      <c r="X13" s="874"/>
      <c r="Y13" s="874"/>
      <c r="Z13" s="874"/>
      <c r="AA13" s="874"/>
    </row>
    <row r="14" spans="1:27" x14ac:dyDescent="0.25">
      <c r="A14" s="366"/>
      <c r="B14" s="469">
        <v>10</v>
      </c>
      <c r="C14" s="436" t="s">
        <v>138</v>
      </c>
      <c r="D14" s="448"/>
      <c r="E14" s="448" t="s">
        <v>11</v>
      </c>
      <c r="F14" s="469" t="s">
        <v>460</v>
      </c>
      <c r="G14" s="745">
        <v>16300</v>
      </c>
      <c r="H14" s="745"/>
      <c r="I14" s="745"/>
      <c r="J14" s="537">
        <v>23400</v>
      </c>
      <c r="K14" s="249">
        <v>1</v>
      </c>
      <c r="L14" s="745">
        <f t="shared" si="0"/>
        <v>23400</v>
      </c>
      <c r="M14" s="745">
        <f>'Cước ô tô'!Y18</f>
        <v>0</v>
      </c>
      <c r="N14" s="745">
        <f>'Cước ô tô mới'!AO17</f>
        <v>112.2153897108</v>
      </c>
      <c r="O14" s="745">
        <f>'Cước sông'!P15</f>
        <v>0</v>
      </c>
      <c r="P14" s="745">
        <f>'Cước TC'!S15</f>
        <v>0</v>
      </c>
      <c r="Q14" s="745"/>
      <c r="R14" s="745"/>
      <c r="S14" s="745">
        <v>0</v>
      </c>
      <c r="T14" s="745"/>
      <c r="U14" s="745">
        <f t="shared" si="1"/>
        <v>112.2153897108</v>
      </c>
      <c r="V14" s="745">
        <f t="shared" si="2"/>
        <v>23512.2153897108</v>
      </c>
      <c r="W14" s="448"/>
      <c r="X14" s="874"/>
      <c r="Y14" s="874"/>
      <c r="Z14" s="874"/>
      <c r="AA14" s="874"/>
    </row>
    <row r="15" spans="1:27" x14ac:dyDescent="0.25">
      <c r="A15" s="366"/>
      <c r="B15" s="469">
        <v>11</v>
      </c>
      <c r="C15" s="436" t="s">
        <v>135</v>
      </c>
      <c r="D15" s="448"/>
      <c r="E15" s="448" t="s">
        <v>938</v>
      </c>
      <c r="F15" s="469" t="s">
        <v>1431</v>
      </c>
      <c r="G15" s="745">
        <v>15</v>
      </c>
      <c r="H15" s="745"/>
      <c r="I15" s="745"/>
      <c r="J15" s="318">
        <v>15</v>
      </c>
      <c r="K15" s="249">
        <v>1</v>
      </c>
      <c r="L15" s="745">
        <f t="shared" si="0"/>
        <v>15</v>
      </c>
      <c r="M15" s="745">
        <f>'Cước ô tô'!Y19</f>
        <v>0</v>
      </c>
      <c r="N15" s="745">
        <f>'Cước ô tô mới'!AO19</f>
        <v>0</v>
      </c>
      <c r="O15" s="745">
        <f>'Cước sông'!P16</f>
        <v>0</v>
      </c>
      <c r="P15" s="745">
        <f>'Cước TC'!S16</f>
        <v>0</v>
      </c>
      <c r="Q15" s="745"/>
      <c r="R15" s="745"/>
      <c r="S15" s="745">
        <v>0</v>
      </c>
      <c r="T15" s="745"/>
      <c r="U15" s="745">
        <f t="shared" si="1"/>
        <v>0</v>
      </c>
      <c r="V15" s="745">
        <f t="shared" si="2"/>
        <v>15</v>
      </c>
      <c r="W15" s="448"/>
      <c r="X15" s="874"/>
      <c r="Y15" s="874"/>
      <c r="Z15" s="874"/>
      <c r="AA15" s="874"/>
    </row>
    <row r="16" spans="1:27" x14ac:dyDescent="0.25">
      <c r="A16" s="366"/>
      <c r="B16" s="469">
        <v>12</v>
      </c>
      <c r="C16" s="436" t="s">
        <v>444</v>
      </c>
      <c r="D16" s="448"/>
      <c r="E16" s="448" t="s">
        <v>938</v>
      </c>
      <c r="F16" s="469" t="s">
        <v>144</v>
      </c>
      <c r="G16" s="745">
        <v>15000</v>
      </c>
      <c r="H16" s="745"/>
      <c r="I16" s="745"/>
      <c r="J16" s="318">
        <v>15000</v>
      </c>
      <c r="K16" s="249">
        <v>1</v>
      </c>
      <c r="L16" s="745">
        <f t="shared" si="0"/>
        <v>15000</v>
      </c>
      <c r="M16" s="745">
        <f>'Cước ô tô'!Y20</f>
        <v>0</v>
      </c>
      <c r="N16" s="745">
        <f>'Cước ô tô mới'!AO20</f>
        <v>0</v>
      </c>
      <c r="O16" s="745">
        <f>'Cước sông'!P17</f>
        <v>0</v>
      </c>
      <c r="P16" s="745">
        <f>'Cước TC'!S17</f>
        <v>0</v>
      </c>
      <c r="Q16" s="745"/>
      <c r="R16" s="745"/>
      <c r="S16" s="745">
        <v>0</v>
      </c>
      <c r="T16" s="745"/>
      <c r="U16" s="745">
        <f t="shared" si="1"/>
        <v>0</v>
      </c>
      <c r="V16" s="745">
        <f t="shared" si="2"/>
        <v>15000</v>
      </c>
      <c r="W16" s="448"/>
      <c r="X16" s="874"/>
      <c r="Y16" s="874"/>
      <c r="Z16" s="874"/>
      <c r="AA16" s="874"/>
    </row>
    <row r="17" spans="1:27" x14ac:dyDescent="0.25">
      <c r="A17" s="366"/>
      <c r="B17" s="469">
        <v>13</v>
      </c>
      <c r="C17" s="436" t="s">
        <v>218</v>
      </c>
      <c r="D17" s="448"/>
      <c r="E17" s="448" t="s">
        <v>1165</v>
      </c>
      <c r="F17" s="469" t="s">
        <v>460</v>
      </c>
      <c r="G17" s="745">
        <v>24500</v>
      </c>
      <c r="H17" s="745"/>
      <c r="I17" s="745"/>
      <c r="J17" s="318">
        <v>24500</v>
      </c>
      <c r="K17" s="249">
        <v>1</v>
      </c>
      <c r="L17" s="745">
        <f t="shared" si="0"/>
        <v>24500</v>
      </c>
      <c r="M17" s="745">
        <f>'Cước ô tô'!Y21</f>
        <v>0</v>
      </c>
      <c r="N17" s="745">
        <f>'Cước ô tô mới'!AO21</f>
        <v>0</v>
      </c>
      <c r="O17" s="745">
        <f>'Cước sông'!P18</f>
        <v>0</v>
      </c>
      <c r="P17" s="745">
        <f>'Cước TC'!S18</f>
        <v>0</v>
      </c>
      <c r="Q17" s="745"/>
      <c r="R17" s="745"/>
      <c r="S17" s="745">
        <v>0</v>
      </c>
      <c r="T17" s="745"/>
      <c r="U17" s="745">
        <f t="shared" si="1"/>
        <v>0</v>
      </c>
      <c r="V17" s="745">
        <f t="shared" si="2"/>
        <v>24500</v>
      </c>
      <c r="W17" s="448"/>
      <c r="X17" s="874"/>
      <c r="Y17" s="874"/>
      <c r="Z17" s="874"/>
      <c r="AA17" s="874"/>
    </row>
    <row r="18" spans="1:27" x14ac:dyDescent="0.25">
      <c r="A18" s="366"/>
      <c r="B18" s="469">
        <v>14</v>
      </c>
      <c r="C18" s="436" t="s">
        <v>379</v>
      </c>
      <c r="D18" s="448"/>
      <c r="E18" s="448" t="s">
        <v>209</v>
      </c>
      <c r="F18" s="469" t="s">
        <v>460</v>
      </c>
      <c r="G18" s="745">
        <v>16300</v>
      </c>
      <c r="H18" s="745"/>
      <c r="I18" s="745"/>
      <c r="J18" s="318">
        <v>16300</v>
      </c>
      <c r="K18" s="249">
        <v>1</v>
      </c>
      <c r="L18" s="745">
        <f t="shared" si="0"/>
        <v>16300</v>
      </c>
      <c r="M18" s="745">
        <f>'Cước ô tô'!Y22</f>
        <v>0</v>
      </c>
      <c r="N18" s="745">
        <f>'Cước ô tô mới'!AO22</f>
        <v>80.851712455600008</v>
      </c>
      <c r="O18" s="745">
        <f>'Cước sông'!P19</f>
        <v>0</v>
      </c>
      <c r="P18" s="745">
        <f>'Cước TC'!S19</f>
        <v>0</v>
      </c>
      <c r="Q18" s="745"/>
      <c r="R18" s="745"/>
      <c r="S18" s="745">
        <v>0</v>
      </c>
      <c r="T18" s="745"/>
      <c r="U18" s="745">
        <f t="shared" si="1"/>
        <v>80.851712455600008</v>
      </c>
      <c r="V18" s="745">
        <f t="shared" si="2"/>
        <v>16380.8517124556</v>
      </c>
      <c r="W18" s="448"/>
      <c r="X18" s="874"/>
      <c r="Y18" s="874"/>
      <c r="Z18" s="874"/>
      <c r="AA18" s="874"/>
    </row>
    <row r="19" spans="1:27" x14ac:dyDescent="0.25">
      <c r="A19" s="899"/>
      <c r="B19" s="113">
        <v>15</v>
      </c>
      <c r="C19" s="456" t="s">
        <v>762</v>
      </c>
      <c r="D19" s="82"/>
      <c r="E19" s="82" t="s">
        <v>1191</v>
      </c>
      <c r="F19" s="113" t="s">
        <v>460</v>
      </c>
      <c r="G19" s="767">
        <v>1330</v>
      </c>
      <c r="H19" s="767"/>
      <c r="I19" s="767"/>
      <c r="J19" s="562">
        <v>1550</v>
      </c>
      <c r="K19" s="796">
        <v>1</v>
      </c>
      <c r="L19" s="767">
        <f t="shared" si="0"/>
        <v>1550</v>
      </c>
      <c r="M19" s="767">
        <f>'Cước ô tô'!Y23</f>
        <v>0</v>
      </c>
      <c r="N19" s="767">
        <f>'Cước ô tô mới'!AO24</f>
        <v>155.16482231320003</v>
      </c>
      <c r="O19" s="767">
        <f>'Cước sông'!P20</f>
        <v>0</v>
      </c>
      <c r="P19" s="767">
        <f>'Cước TC'!S20</f>
        <v>0</v>
      </c>
      <c r="Q19" s="767"/>
      <c r="R19" s="767"/>
      <c r="S19" s="767">
        <v>0</v>
      </c>
      <c r="T19" s="767"/>
      <c r="U19" s="767">
        <f t="shared" si="1"/>
        <v>155.16482231320003</v>
      </c>
      <c r="V19" s="767">
        <f t="shared" si="2"/>
        <v>1705.1648223132001</v>
      </c>
      <c r="W19" s="82"/>
      <c r="X19" s="874"/>
      <c r="Y19" s="874"/>
      <c r="Z19" s="874"/>
      <c r="AA19" s="874"/>
    </row>
    <row r="20" spans="1:27" x14ac:dyDescent="0.3">
      <c r="B20" s="874"/>
      <c r="C20" s="874"/>
      <c r="D20" s="874"/>
      <c r="E20" s="874"/>
      <c r="F20" s="874"/>
      <c r="G20" s="874"/>
      <c r="H20" s="874"/>
      <c r="I20" s="874"/>
      <c r="J20" s="874"/>
      <c r="K20" s="874"/>
      <c r="L20" s="874"/>
      <c r="M20" s="874"/>
      <c r="N20" s="874"/>
      <c r="O20" s="874"/>
      <c r="P20" s="874"/>
      <c r="Q20" s="874"/>
      <c r="R20" s="874"/>
      <c r="S20" s="874"/>
      <c r="T20" s="874"/>
      <c r="U20" s="874"/>
      <c r="V20" s="874"/>
      <c r="W20" s="874"/>
      <c r="X20" s="874"/>
      <c r="Y20" s="874"/>
      <c r="Z20" s="874"/>
      <c r="AA20" s="874"/>
    </row>
    <row r="21" spans="1:27" x14ac:dyDescent="0.3">
      <c r="B21" s="874"/>
      <c r="C21" s="874"/>
      <c r="D21" s="874"/>
      <c r="E21" s="874"/>
      <c r="F21" s="874"/>
      <c r="G21" s="874"/>
      <c r="H21" s="874"/>
      <c r="I21" s="874"/>
      <c r="J21" s="874"/>
      <c r="K21" s="874"/>
      <c r="L21" s="874"/>
      <c r="M21" s="874"/>
      <c r="N21" s="874"/>
      <c r="O21" s="874"/>
      <c r="P21" s="874"/>
      <c r="Q21" s="874"/>
      <c r="R21" s="874"/>
      <c r="S21" s="874"/>
      <c r="T21" s="874"/>
      <c r="U21" s="874"/>
      <c r="V21" s="874"/>
      <c r="W21" s="874"/>
      <c r="X21" s="874"/>
      <c r="Y21" s="874"/>
      <c r="Z21" s="874"/>
      <c r="AA21" s="874"/>
    </row>
  </sheetData>
  <mergeCells count="3">
    <mergeCell ref="B1:V1"/>
    <mergeCell ref="B2:V2"/>
    <mergeCell ref="B3:V3"/>
  </mergeCells>
  <conditionalFormatting sqref="G5:G19">
    <cfRule type="cellIs" dxfId="14" priority="2" stopIfTrue="1" operator="equal">
      <formula>0</formula>
    </cfRule>
  </conditionalFormatting>
  <conditionalFormatting sqref="J5:J19">
    <cfRule type="cellIs" dxfId="13" priority="3" stopIfTrue="1" operator="equal">
      <formula>0</formula>
    </cfRule>
  </conditionalFormatting>
  <conditionalFormatting sqref="K5:K20">
    <cfRule type="cellIs" dxfId="12" priority="1" stopIfTrue="1" operator="equal">
      <formula>1</formula>
    </cfRule>
  </conditionalFormatting>
  <pageMargins left="0.75" right="0.44" top="0.79" bottom="0.79" header="0.3" footer="0.3"/>
  <pageSetup paperSize="9" orientation="landscape" useFirstPageNumber="1" r:id="rId1"/>
  <headerFooter>
    <oddFooter>&amp;CTrang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3"/>
  </sheetPr>
  <dimension ref="A1:AA362"/>
  <sheetViews>
    <sheetView showZeros="0" topLeftCell="B1" workbookViewId="0">
      <selection activeCell="B13" sqref="B13:H13"/>
    </sheetView>
  </sheetViews>
  <sheetFormatPr defaultColWidth="9.140625" defaultRowHeight="15" x14ac:dyDescent="0.25"/>
  <cols>
    <col min="1" max="1" width="9.140625" style="794" hidden="1" customWidth="1"/>
    <col min="2" max="2" width="4.7109375" style="794" bestFit="1" customWidth="1"/>
    <col min="3" max="3" width="10" style="40" hidden="1" customWidth="1"/>
    <col min="4" max="4" width="9.5703125" style="40" customWidth="1"/>
    <col min="5" max="5" width="38.7109375" style="794" customWidth="1"/>
    <col min="6" max="6" width="6.85546875" style="794" customWidth="1"/>
    <col min="7" max="8" width="10.28515625" style="794" customWidth="1"/>
    <col min="9" max="9" width="6.7109375" style="794" customWidth="1"/>
    <col min="10" max="10" width="10.7109375" style="794" customWidth="1"/>
    <col min="11" max="18" width="9.140625" style="794"/>
    <col min="19" max="19" width="14.140625" style="794" customWidth="1"/>
    <col min="20" max="16384" width="9.140625" style="794"/>
  </cols>
  <sheetData>
    <row r="1" spans="1:27" ht="18.75" x14ac:dyDescent="0.3">
      <c r="A1" s="1149" t="s">
        <v>100</v>
      </c>
      <c r="B1" s="1149"/>
      <c r="C1" s="1149"/>
      <c r="D1" s="1149"/>
      <c r="E1" s="1149"/>
      <c r="F1" s="1149"/>
      <c r="G1" s="1149"/>
      <c r="H1" s="1149"/>
      <c r="I1" s="1149"/>
      <c r="J1" s="1149"/>
    </row>
    <row r="2" spans="1:27" x14ac:dyDescent="0.25">
      <c r="A2" s="1150" t="s">
        <v>197</v>
      </c>
      <c r="B2" s="1150"/>
      <c r="C2" s="1150"/>
      <c r="D2" s="1150"/>
      <c r="E2" s="1150"/>
      <c r="F2" s="1150"/>
      <c r="G2" s="1150"/>
      <c r="H2" s="1150"/>
      <c r="I2" s="1150"/>
      <c r="J2" s="1150"/>
    </row>
    <row r="3" spans="1:27" x14ac:dyDescent="0.25">
      <c r="A3" s="1150" t="s">
        <v>1409</v>
      </c>
      <c r="B3" s="1150"/>
      <c r="C3" s="1150"/>
      <c r="D3" s="1150"/>
      <c r="E3" s="1150"/>
      <c r="F3" s="1150"/>
      <c r="G3" s="1150"/>
      <c r="H3" s="1150"/>
      <c r="I3" s="1150"/>
      <c r="J3" s="1150"/>
    </row>
    <row r="4" spans="1:27" x14ac:dyDescent="0.25">
      <c r="A4" s="1151" t="s">
        <v>306</v>
      </c>
      <c r="B4" s="1152"/>
      <c r="C4" s="1152"/>
      <c r="D4" s="1152"/>
      <c r="E4" s="1152"/>
      <c r="F4" s="1152"/>
      <c r="G4" s="1152"/>
      <c r="H4" s="1152"/>
      <c r="I4" s="1152"/>
      <c r="J4" s="1152"/>
      <c r="K4" s="874"/>
      <c r="L4" s="874"/>
      <c r="M4" s="874"/>
      <c r="N4" s="874"/>
      <c r="O4" s="874"/>
      <c r="P4" s="874"/>
      <c r="Q4" s="874"/>
      <c r="R4" s="874"/>
      <c r="S4" s="874"/>
      <c r="T4" s="874"/>
      <c r="U4" s="874"/>
      <c r="V4" s="874"/>
      <c r="W4" s="874"/>
      <c r="X4" s="874"/>
      <c r="Y4" s="874"/>
      <c r="Z4" s="874"/>
      <c r="AA4" s="874"/>
    </row>
    <row r="5" spans="1:27" ht="28.5" x14ac:dyDescent="0.25">
      <c r="A5" s="463"/>
      <c r="B5" s="463" t="s">
        <v>1323</v>
      </c>
      <c r="C5" s="633" t="s">
        <v>1152</v>
      </c>
      <c r="D5" s="633" t="s">
        <v>958</v>
      </c>
      <c r="E5" s="463" t="s">
        <v>806</v>
      </c>
      <c r="F5" s="463" t="s">
        <v>1448</v>
      </c>
      <c r="G5" s="463" t="s">
        <v>1079</v>
      </c>
      <c r="H5" s="463" t="s">
        <v>979</v>
      </c>
      <c r="I5" s="463" t="s">
        <v>860</v>
      </c>
      <c r="J5" s="463" t="s">
        <v>898</v>
      </c>
      <c r="K5" s="874"/>
      <c r="L5" s="874"/>
      <c r="M5" s="874"/>
      <c r="N5" s="874"/>
      <c r="O5" s="874"/>
      <c r="P5" s="874"/>
      <c r="Q5" s="874"/>
      <c r="R5" s="874"/>
      <c r="S5" s="874"/>
      <c r="T5" s="874"/>
      <c r="U5" s="874"/>
      <c r="V5" s="874"/>
      <c r="W5" s="874"/>
      <c r="X5" s="874"/>
      <c r="Y5" s="874"/>
      <c r="Z5" s="874"/>
      <c r="AA5" s="874"/>
    </row>
    <row r="6" spans="1:27" ht="30" x14ac:dyDescent="0.25">
      <c r="A6" s="895"/>
      <c r="B6" s="58">
        <v>1</v>
      </c>
      <c r="C6" s="137" t="str">
        <f>'Tiên lượng'!C8</f>
        <v>SA.12112</v>
      </c>
      <c r="D6" s="137" t="str">
        <f>'Tiên lượng'!C8</f>
        <v>SA.12112</v>
      </c>
      <c r="E6" s="693" t="str">
        <f>'Tiên lượng'!D8</f>
        <v>Phá dỡ kết cấu bê tông không cốt thép bằng búa căn. (Bê tông mặt đường cũ)</v>
      </c>
      <c r="F6" s="58" t="str">
        <f>'Tiên lượng'!E8</f>
        <v>m3</v>
      </c>
      <c r="G6" s="254"/>
      <c r="H6" s="194"/>
      <c r="I6" s="527"/>
      <c r="J6" s="194"/>
      <c r="K6" s="874"/>
      <c r="L6" s="874"/>
      <c r="M6" s="874"/>
      <c r="N6" s="874"/>
      <c r="O6" s="874"/>
      <c r="P6" s="874"/>
      <c r="Q6" s="874"/>
      <c r="R6" s="874"/>
      <c r="S6" s="874"/>
      <c r="T6" s="874"/>
      <c r="U6" s="874"/>
      <c r="V6" s="874"/>
      <c r="W6" s="874"/>
      <c r="X6" s="874"/>
      <c r="Y6" s="874"/>
      <c r="Z6" s="874"/>
      <c r="AA6" s="874"/>
    </row>
    <row r="7" spans="1:27" x14ac:dyDescent="0.25">
      <c r="A7" s="129"/>
      <c r="B7" s="198"/>
      <c r="C7" s="810" t="s">
        <v>306</v>
      </c>
      <c r="D7" s="810" t="s">
        <v>306</v>
      </c>
      <c r="E7" s="473" t="s">
        <v>1372</v>
      </c>
      <c r="F7" s="198" t="s">
        <v>479</v>
      </c>
      <c r="G7" s="32"/>
      <c r="H7" s="333"/>
      <c r="I7" s="671"/>
      <c r="J7" s="333">
        <v>0</v>
      </c>
      <c r="K7" s="874"/>
      <c r="L7" s="874"/>
      <c r="M7" s="874"/>
      <c r="N7" s="874"/>
      <c r="O7" s="874"/>
      <c r="P7" s="874"/>
      <c r="Q7" s="874"/>
      <c r="R7" s="874"/>
      <c r="S7" s="874"/>
      <c r="T7" s="874"/>
      <c r="U7" s="874"/>
      <c r="V7" s="874"/>
      <c r="W7" s="874"/>
      <c r="X7" s="874"/>
      <c r="Y7" s="874"/>
      <c r="Z7" s="874"/>
      <c r="AA7" s="874"/>
    </row>
    <row r="8" spans="1:27" x14ac:dyDescent="0.25">
      <c r="A8" s="129"/>
      <c r="B8" s="198"/>
      <c r="C8" s="810" t="s">
        <v>306</v>
      </c>
      <c r="D8" s="810" t="s">
        <v>306</v>
      </c>
      <c r="E8" s="473" t="s">
        <v>890</v>
      </c>
      <c r="F8" s="198" t="s">
        <v>125</v>
      </c>
      <c r="G8" s="32"/>
      <c r="H8" s="333"/>
      <c r="I8" s="671"/>
      <c r="J8" s="333">
        <f>SUM(J9:J9)</f>
        <v>132598.44</v>
      </c>
      <c r="K8" s="874"/>
      <c r="L8" s="874"/>
      <c r="M8" s="874"/>
      <c r="N8" s="874"/>
      <c r="O8" s="874"/>
      <c r="P8" s="874"/>
      <c r="Q8" s="874"/>
      <c r="R8" s="874"/>
      <c r="S8" s="874"/>
      <c r="T8" s="874"/>
      <c r="U8" s="874"/>
      <c r="V8" s="874"/>
      <c r="W8" s="874"/>
      <c r="X8" s="874"/>
      <c r="Y8" s="874"/>
      <c r="Z8" s="874"/>
      <c r="AA8" s="874"/>
    </row>
    <row r="9" spans="1:27" x14ac:dyDescent="0.25">
      <c r="A9" s="813"/>
      <c r="B9" s="870"/>
      <c r="C9" s="66" t="s">
        <v>306</v>
      </c>
      <c r="D9" s="774" t="s">
        <v>591</v>
      </c>
      <c r="E9" s="649" t="str">
        <f>" - " &amp; 'Giá NC'!E5</f>
        <v xml:space="preserve"> - Nhân công bậc 3,0/7 - Nhóm 1</v>
      </c>
      <c r="F9" s="870" t="str">
        <f>'Giá NC'!F5</f>
        <v>công</v>
      </c>
      <c r="G9" s="725">
        <f>PTVT!G8</f>
        <v>0.57999999999999996</v>
      </c>
      <c r="H9" s="484">
        <f>'Giá NC'!K5</f>
        <v>228618</v>
      </c>
      <c r="I9" s="441">
        <f>'Tiên lượng'!W8</f>
        <v>1</v>
      </c>
      <c r="J9" s="484">
        <f>PRODUCT(G9,H9,I9)</f>
        <v>132598.44</v>
      </c>
      <c r="K9" s="874"/>
      <c r="L9" s="874"/>
      <c r="M9" s="874"/>
      <c r="N9" s="874"/>
      <c r="O9" s="874"/>
      <c r="P9" s="874"/>
      <c r="Q9" s="874"/>
      <c r="R9" s="874"/>
      <c r="S9" s="874"/>
      <c r="T9" s="874"/>
      <c r="U9" s="874"/>
      <c r="V9" s="874"/>
      <c r="W9" s="874"/>
      <c r="X9" s="874"/>
      <c r="Y9" s="874"/>
      <c r="Z9" s="874"/>
      <c r="AA9" s="874"/>
    </row>
    <row r="10" spans="1:27" x14ac:dyDescent="0.25">
      <c r="A10" s="129"/>
      <c r="B10" s="198"/>
      <c r="C10" s="810" t="s">
        <v>306</v>
      </c>
      <c r="D10" s="810" t="s">
        <v>306</v>
      </c>
      <c r="E10" s="473" t="s">
        <v>556</v>
      </c>
      <c r="F10" s="198" t="s">
        <v>539</v>
      </c>
      <c r="G10" s="32"/>
      <c r="H10" s="333"/>
      <c r="I10" s="671"/>
      <c r="J10" s="333">
        <f>SUM(J11:J12)</f>
        <v>171274.46000000002</v>
      </c>
      <c r="K10" s="874"/>
      <c r="L10" s="874"/>
      <c r="M10" s="874"/>
      <c r="N10" s="874"/>
      <c r="O10" s="874"/>
      <c r="P10" s="874"/>
      <c r="Q10" s="874"/>
      <c r="R10" s="874"/>
      <c r="S10" s="874"/>
      <c r="T10" s="874"/>
      <c r="U10" s="874"/>
      <c r="V10" s="874"/>
      <c r="W10" s="874"/>
      <c r="X10" s="874"/>
      <c r="Y10" s="874"/>
      <c r="Z10" s="874"/>
      <c r="AA10" s="874"/>
    </row>
    <row r="11" spans="1:27" x14ac:dyDescent="0.25">
      <c r="A11" s="813"/>
      <c r="B11" s="870"/>
      <c r="C11" s="66" t="s">
        <v>306</v>
      </c>
      <c r="D11" s="774" t="s">
        <v>445</v>
      </c>
      <c r="E11" s="649" t="str">
        <f>" - " &amp; 'Giá Máy'!E5</f>
        <v xml:space="preserve"> - Búa căn khí nén 3m3/ph</v>
      </c>
      <c r="F11" s="870" t="str">
        <f>'Giá Máy'!F5</f>
        <v>ca</v>
      </c>
      <c r="G11" s="725">
        <f>PTVT!G10</f>
        <v>0.26</v>
      </c>
      <c r="H11" s="484">
        <f>'Giá Máy'!O5</f>
        <v>21147</v>
      </c>
      <c r="I11" s="441">
        <f>'Tiên lượng'!X8</f>
        <v>1</v>
      </c>
      <c r="J11" s="484">
        <f t="shared" ref="J11:J12" si="0">PRODUCT(G11,H11,I11)</f>
        <v>5498.22</v>
      </c>
      <c r="K11" s="874"/>
      <c r="L11" s="874"/>
      <c r="M11" s="874"/>
      <c r="N11" s="874"/>
      <c r="O11" s="874"/>
      <c r="P11" s="874"/>
      <c r="Q11" s="874"/>
      <c r="R11" s="874"/>
      <c r="S11" s="874"/>
      <c r="T11" s="874"/>
      <c r="U11" s="874"/>
      <c r="V11" s="874"/>
      <c r="W11" s="874"/>
      <c r="X11" s="874"/>
      <c r="Y11" s="874"/>
      <c r="Z11" s="874"/>
      <c r="AA11" s="874"/>
    </row>
    <row r="12" spans="1:27" x14ac:dyDescent="0.25">
      <c r="A12" s="813"/>
      <c r="B12" s="870"/>
      <c r="C12" s="66" t="s">
        <v>306</v>
      </c>
      <c r="D12" s="774" t="s">
        <v>647</v>
      </c>
      <c r="E12" s="649" t="str">
        <f>" - " &amp; 'Giá Máy'!E15</f>
        <v xml:space="preserve"> - Máy nén khí diezel 360m3/h</v>
      </c>
      <c r="F12" s="870" t="str">
        <f>'Giá Máy'!F15</f>
        <v>ca</v>
      </c>
      <c r="G12" s="725">
        <f>PTVT!G11</f>
        <v>0.14000000000000001</v>
      </c>
      <c r="H12" s="484">
        <f>'Giá Máy'!O15</f>
        <v>1184116</v>
      </c>
      <c r="I12" s="441">
        <f>'Tiên lượng'!X8</f>
        <v>1</v>
      </c>
      <c r="J12" s="484">
        <f t="shared" si="0"/>
        <v>165776.24000000002</v>
      </c>
      <c r="K12" s="874"/>
      <c r="L12" s="874"/>
      <c r="M12" s="874"/>
      <c r="N12" s="874"/>
      <c r="O12" s="874"/>
      <c r="P12" s="874"/>
      <c r="Q12" s="874"/>
      <c r="R12" s="874"/>
      <c r="S12" s="874"/>
      <c r="T12" s="874"/>
      <c r="U12" s="874"/>
      <c r="V12" s="874"/>
      <c r="W12" s="874"/>
      <c r="X12" s="874"/>
      <c r="Y12" s="874"/>
      <c r="Z12" s="874"/>
      <c r="AA12" s="874"/>
    </row>
    <row r="13" spans="1:27" x14ac:dyDescent="0.25">
      <c r="A13" s="813"/>
      <c r="B13" s="870"/>
      <c r="C13" s="66" t="s">
        <v>306</v>
      </c>
      <c r="D13" s="774" t="s">
        <v>306</v>
      </c>
      <c r="E13" s="649" t="s">
        <v>1211</v>
      </c>
      <c r="F13" s="870" t="s">
        <v>969</v>
      </c>
      <c r="G13" s="735"/>
      <c r="H13" s="484"/>
      <c r="I13" s="441"/>
      <c r="J13" s="484">
        <f>J7+J8+J10</f>
        <v>303872.90000000002</v>
      </c>
      <c r="K13" s="874"/>
      <c r="L13" s="874"/>
      <c r="M13" s="874"/>
      <c r="N13" s="874"/>
      <c r="O13" s="874"/>
      <c r="P13" s="874"/>
      <c r="Q13" s="874"/>
      <c r="R13" s="874"/>
      <c r="S13" s="874"/>
      <c r="T13" s="874"/>
      <c r="U13" s="874"/>
      <c r="V13" s="874"/>
      <c r="W13" s="874"/>
      <c r="X13" s="874"/>
      <c r="Y13" s="874"/>
      <c r="Z13" s="874"/>
      <c r="AA13" s="874"/>
    </row>
    <row r="14" spans="1:27" x14ac:dyDescent="0.25">
      <c r="A14" s="813"/>
      <c r="B14" s="870"/>
      <c r="C14" s="66" t="s">
        <v>306</v>
      </c>
      <c r="D14" s="774" t="s">
        <v>306</v>
      </c>
      <c r="E14" s="649" t="s">
        <v>581</v>
      </c>
      <c r="F14" s="870" t="s">
        <v>892</v>
      </c>
      <c r="G14" s="694">
        <f>'Hệ số'!D5</f>
        <v>6.2E-2</v>
      </c>
      <c r="H14" s="484"/>
      <c r="I14" s="441"/>
      <c r="J14" s="484">
        <f>(J13)*G14</f>
        <v>18840.1198</v>
      </c>
      <c r="K14" s="874"/>
      <c r="L14" s="874"/>
      <c r="M14" s="874"/>
      <c r="N14" s="874"/>
      <c r="O14" s="874"/>
      <c r="P14" s="874"/>
      <c r="Q14" s="874"/>
      <c r="R14" s="874"/>
      <c r="S14" s="874"/>
      <c r="T14" s="874"/>
      <c r="U14" s="874"/>
      <c r="V14" s="874"/>
      <c r="W14" s="874"/>
      <c r="X14" s="874"/>
      <c r="Y14" s="874"/>
      <c r="Z14" s="874"/>
      <c r="AA14" s="874"/>
    </row>
    <row r="15" spans="1:27" x14ac:dyDescent="0.25">
      <c r="A15" s="813"/>
      <c r="B15" s="870"/>
      <c r="C15" s="66" t="s">
        <v>306</v>
      </c>
      <c r="D15" s="774" t="s">
        <v>306</v>
      </c>
      <c r="E15" s="649" t="s">
        <v>634</v>
      </c>
      <c r="F15" s="870" t="s">
        <v>997</v>
      </c>
      <c r="G15" s="694">
        <f>'Hệ số'!D11</f>
        <v>1.1000000000000001E-2</v>
      </c>
      <c r="H15" s="484"/>
      <c r="I15" s="441"/>
      <c r="J15" s="484">
        <f>(J13)*G15</f>
        <v>3342.6019000000006</v>
      </c>
      <c r="K15" s="874"/>
      <c r="L15" s="874"/>
      <c r="M15" s="874"/>
      <c r="N15" s="874"/>
      <c r="O15" s="874"/>
      <c r="P15" s="874"/>
      <c r="Q15" s="874"/>
      <c r="R15" s="874"/>
      <c r="S15" s="874"/>
      <c r="T15" s="874"/>
      <c r="U15" s="874"/>
      <c r="V15" s="874"/>
      <c r="W15" s="874"/>
      <c r="X15" s="874"/>
      <c r="Y15" s="874"/>
      <c r="Z15" s="874"/>
      <c r="AA15" s="874"/>
    </row>
    <row r="16" spans="1:27" ht="30" x14ac:dyDescent="0.25">
      <c r="A16" s="813"/>
      <c r="B16" s="870"/>
      <c r="C16" s="66" t="s">
        <v>306</v>
      </c>
      <c r="D16" s="774" t="s">
        <v>306</v>
      </c>
      <c r="E16" s="649" t="s">
        <v>51</v>
      </c>
      <c r="F16" s="870" t="s">
        <v>172</v>
      </c>
      <c r="G16" s="319">
        <f>'Hệ số'!D8</f>
        <v>0.02</v>
      </c>
      <c r="H16" s="484"/>
      <c r="I16" s="441"/>
      <c r="J16" s="484">
        <f>(J13)*G16</f>
        <v>6077.4580000000005</v>
      </c>
      <c r="K16" s="874"/>
      <c r="L16" s="874"/>
      <c r="M16" s="874"/>
      <c r="N16" s="874"/>
      <c r="O16" s="874"/>
      <c r="P16" s="874"/>
      <c r="Q16" s="874"/>
      <c r="R16" s="874"/>
      <c r="S16" s="874"/>
      <c r="T16" s="874"/>
      <c r="U16" s="874"/>
      <c r="V16" s="874"/>
      <c r="W16" s="874"/>
      <c r="X16" s="874"/>
      <c r="Y16" s="874"/>
      <c r="Z16" s="874"/>
      <c r="AA16" s="874"/>
    </row>
    <row r="17" spans="1:27" x14ac:dyDescent="0.25">
      <c r="A17" s="813"/>
      <c r="B17" s="870"/>
      <c r="C17" s="66" t="s">
        <v>306</v>
      </c>
      <c r="D17" s="774" t="s">
        <v>306</v>
      </c>
      <c r="E17" s="649" t="s">
        <v>4</v>
      </c>
      <c r="F17" s="870" t="s">
        <v>1074</v>
      </c>
      <c r="G17" s="735"/>
      <c r="H17" s="484"/>
      <c r="I17" s="441"/>
      <c r="J17" s="484">
        <f>J14+J15+J16</f>
        <v>28260.179700000001</v>
      </c>
      <c r="K17" s="874"/>
      <c r="L17" s="874"/>
      <c r="M17" s="874"/>
      <c r="N17" s="874"/>
      <c r="O17" s="874"/>
      <c r="P17" s="874"/>
      <c r="Q17" s="874"/>
      <c r="R17" s="874"/>
      <c r="S17" s="874"/>
      <c r="T17" s="874"/>
      <c r="U17" s="874"/>
      <c r="V17" s="874"/>
      <c r="W17" s="874"/>
      <c r="X17" s="874"/>
      <c r="Y17" s="874"/>
      <c r="Z17" s="874"/>
      <c r="AA17" s="874"/>
    </row>
    <row r="18" spans="1:27" ht="30" x14ac:dyDescent="0.25">
      <c r="A18" s="813"/>
      <c r="B18" s="870"/>
      <c r="C18" s="66" t="s">
        <v>306</v>
      </c>
      <c r="D18" s="774" t="s">
        <v>306</v>
      </c>
      <c r="E18" s="649" t="s">
        <v>926</v>
      </c>
      <c r="F18" s="870" t="s">
        <v>877</v>
      </c>
      <c r="G18" s="319">
        <f>'Hệ số'!D15</f>
        <v>0.06</v>
      </c>
      <c r="H18" s="484"/>
      <c r="I18" s="441"/>
      <c r="J18" s="484">
        <f>(J13+J17)*G18</f>
        <v>19927.984782</v>
      </c>
      <c r="K18" s="874"/>
      <c r="L18" s="874"/>
      <c r="M18" s="874"/>
      <c r="N18" s="874"/>
      <c r="O18" s="874"/>
      <c r="P18" s="874"/>
      <c r="Q18" s="874"/>
      <c r="R18" s="874"/>
      <c r="S18" s="874"/>
      <c r="T18" s="874"/>
      <c r="U18" s="874"/>
      <c r="V18" s="874"/>
      <c r="W18" s="874"/>
      <c r="X18" s="874"/>
      <c r="Y18" s="874"/>
      <c r="Z18" s="874"/>
      <c r="AA18" s="874"/>
    </row>
    <row r="19" spans="1:27" x14ac:dyDescent="0.25">
      <c r="A19" s="813"/>
      <c r="B19" s="870"/>
      <c r="C19" s="66" t="s">
        <v>306</v>
      </c>
      <c r="D19" s="774" t="s">
        <v>306</v>
      </c>
      <c r="E19" s="421" t="s">
        <v>699</v>
      </c>
      <c r="F19" s="143" t="s">
        <v>516</v>
      </c>
      <c r="G19" s="735"/>
      <c r="H19" s="484"/>
      <c r="I19" s="441"/>
      <c r="J19" s="270">
        <f>J13+J17+J18</f>
        <v>352061.06448200002</v>
      </c>
      <c r="K19" s="874"/>
      <c r="L19" s="874"/>
      <c r="M19" s="874"/>
      <c r="N19" s="874"/>
      <c r="O19" s="874"/>
      <c r="P19" s="874"/>
      <c r="Q19" s="874"/>
      <c r="R19" s="874"/>
      <c r="S19" s="874"/>
      <c r="T19" s="874"/>
      <c r="U19" s="874"/>
      <c r="V19" s="874"/>
      <c r="W19" s="874"/>
      <c r="X19" s="874"/>
      <c r="Y19" s="874"/>
      <c r="Z19" s="874"/>
      <c r="AA19" s="874"/>
    </row>
    <row r="20" spans="1:27" x14ac:dyDescent="0.25">
      <c r="A20" s="813"/>
      <c r="B20" s="870"/>
      <c r="C20" s="66" t="s">
        <v>306</v>
      </c>
      <c r="D20" s="774" t="s">
        <v>306</v>
      </c>
      <c r="E20" s="649" t="s">
        <v>1117</v>
      </c>
      <c r="F20" s="870" t="s">
        <v>447</v>
      </c>
      <c r="G20" s="319">
        <f>'Hệ số'!D17</f>
        <v>0.08</v>
      </c>
      <c r="H20" s="484"/>
      <c r="I20" s="441"/>
      <c r="J20" s="484">
        <f>(J19)*G20</f>
        <v>28164.885158560002</v>
      </c>
      <c r="K20" s="874"/>
      <c r="L20" s="874"/>
      <c r="M20" s="874"/>
      <c r="N20" s="874"/>
      <c r="O20" s="874"/>
      <c r="P20" s="874"/>
      <c r="Q20" s="874"/>
      <c r="R20" s="874"/>
      <c r="S20" s="874"/>
      <c r="T20" s="874"/>
      <c r="U20" s="874"/>
      <c r="V20" s="874"/>
      <c r="W20" s="874"/>
      <c r="X20" s="874"/>
      <c r="Y20" s="874"/>
      <c r="Z20" s="874"/>
      <c r="AA20" s="874"/>
    </row>
    <row r="21" spans="1:27" x14ac:dyDescent="0.25">
      <c r="A21" s="468"/>
      <c r="B21" s="534"/>
      <c r="C21" s="638" t="s">
        <v>306</v>
      </c>
      <c r="D21" s="420" t="s">
        <v>306</v>
      </c>
      <c r="E21" s="438" t="s">
        <v>1316</v>
      </c>
      <c r="F21" s="698" t="s">
        <v>927</v>
      </c>
      <c r="G21" s="750"/>
      <c r="H21" s="128"/>
      <c r="I21" s="462"/>
      <c r="J21" s="880">
        <f>J19+J20</f>
        <v>380225.94964056002</v>
      </c>
      <c r="K21" s="874"/>
      <c r="L21" s="874"/>
      <c r="M21" s="874"/>
      <c r="N21" s="874"/>
      <c r="O21" s="874"/>
      <c r="P21" s="874"/>
      <c r="Q21" s="874"/>
      <c r="R21" s="874"/>
      <c r="S21" s="874"/>
      <c r="T21" s="874"/>
      <c r="U21" s="874"/>
      <c r="V21" s="874"/>
      <c r="W21" s="874"/>
      <c r="X21" s="874"/>
      <c r="Y21" s="874"/>
      <c r="Z21" s="874"/>
      <c r="AA21" s="874"/>
    </row>
    <row r="22" spans="1:27" ht="45" x14ac:dyDescent="0.25">
      <c r="A22" s="895"/>
      <c r="B22" s="58">
        <v>2</v>
      </c>
      <c r="C22" s="137" t="str">
        <f>'Tiên lượng'!C10</f>
        <v>AB.55321</v>
      </c>
      <c r="D22" s="137" t="str">
        <f>'Tiên lượng'!C10</f>
        <v>AB.55321</v>
      </c>
      <c r="E22" s="693" t="str">
        <f>'Tiên lượng'!D10</f>
        <v>Xúc đá tảng, cục bê tông lên phương tiện vận chuyển bằng máy đào 3,6m3, ĐK 0,4÷1m</v>
      </c>
      <c r="F22" s="58" t="str">
        <f>'Tiên lượng'!E10</f>
        <v>100m3</v>
      </c>
      <c r="G22" s="254"/>
      <c r="H22" s="194"/>
      <c r="I22" s="527"/>
      <c r="J22" s="194"/>
      <c r="K22" s="874"/>
      <c r="L22" s="874"/>
      <c r="M22" s="874"/>
      <c r="N22" s="874"/>
      <c r="O22" s="874"/>
      <c r="P22" s="874"/>
      <c r="Q22" s="874"/>
      <c r="R22" s="874"/>
      <c r="S22" s="874"/>
      <c r="T22" s="874"/>
      <c r="U22" s="874"/>
      <c r="V22" s="874"/>
      <c r="W22" s="874"/>
      <c r="X22" s="874"/>
      <c r="Y22" s="874"/>
      <c r="Z22" s="874"/>
      <c r="AA22" s="874"/>
    </row>
    <row r="23" spans="1:27" x14ac:dyDescent="0.25">
      <c r="A23" s="129"/>
      <c r="B23" s="198"/>
      <c r="C23" s="810" t="s">
        <v>306</v>
      </c>
      <c r="D23" s="810" t="s">
        <v>306</v>
      </c>
      <c r="E23" s="473" t="s">
        <v>1372</v>
      </c>
      <c r="F23" s="198" t="s">
        <v>479</v>
      </c>
      <c r="G23" s="32"/>
      <c r="H23" s="333"/>
      <c r="I23" s="671"/>
      <c r="J23" s="333">
        <v>0</v>
      </c>
      <c r="K23" s="874"/>
      <c r="L23" s="874"/>
      <c r="M23" s="874"/>
      <c r="N23" s="874"/>
      <c r="O23" s="874"/>
      <c r="P23" s="874"/>
      <c r="Q23" s="874"/>
      <c r="R23" s="874"/>
      <c r="S23" s="874"/>
      <c r="T23" s="874"/>
      <c r="U23" s="874"/>
      <c r="V23" s="874"/>
      <c r="W23" s="874"/>
      <c r="X23" s="874"/>
      <c r="Y23" s="874"/>
      <c r="Z23" s="874"/>
      <c r="AA23" s="874"/>
    </row>
    <row r="24" spans="1:27" x14ac:dyDescent="0.25">
      <c r="A24" s="129"/>
      <c r="B24" s="198"/>
      <c r="C24" s="810" t="s">
        <v>306</v>
      </c>
      <c r="D24" s="810" t="s">
        <v>306</v>
      </c>
      <c r="E24" s="473" t="s">
        <v>890</v>
      </c>
      <c r="F24" s="198" t="s">
        <v>125</v>
      </c>
      <c r="G24" s="32"/>
      <c r="H24" s="333"/>
      <c r="I24" s="671"/>
      <c r="J24" s="333">
        <f>SUM(J25:J25)</f>
        <v>153174.06</v>
      </c>
      <c r="K24" s="874"/>
      <c r="L24" s="874"/>
      <c r="M24" s="874"/>
      <c r="N24" s="874"/>
      <c r="O24" s="874"/>
      <c r="P24" s="874"/>
      <c r="Q24" s="874"/>
      <c r="R24" s="874"/>
      <c r="S24" s="874"/>
      <c r="T24" s="874"/>
      <c r="U24" s="874"/>
      <c r="V24" s="874"/>
      <c r="W24" s="874"/>
      <c r="X24" s="874"/>
      <c r="Y24" s="874"/>
      <c r="Z24" s="874"/>
      <c r="AA24" s="874"/>
    </row>
    <row r="25" spans="1:27" x14ac:dyDescent="0.25">
      <c r="A25" s="813"/>
      <c r="B25" s="870"/>
      <c r="C25" s="66" t="s">
        <v>306</v>
      </c>
      <c r="D25" s="774" t="s">
        <v>591</v>
      </c>
      <c r="E25" s="649" t="str">
        <f>" - " &amp; 'Giá NC'!E5</f>
        <v xml:space="preserve"> - Nhân công bậc 3,0/7 - Nhóm 1</v>
      </c>
      <c r="F25" s="870" t="str">
        <f>'Giá NC'!F5</f>
        <v>công</v>
      </c>
      <c r="G25" s="725">
        <f>PTVT!G14</f>
        <v>0.67</v>
      </c>
      <c r="H25" s="484">
        <f>'Giá NC'!K5</f>
        <v>228618</v>
      </c>
      <c r="I25" s="441">
        <f>'Tiên lượng'!W10</f>
        <v>1</v>
      </c>
      <c r="J25" s="484">
        <f>PRODUCT(G25,H25,I25)</f>
        <v>153174.06</v>
      </c>
      <c r="K25" s="874"/>
      <c r="L25" s="874"/>
      <c r="M25" s="874"/>
      <c r="N25" s="874"/>
      <c r="O25" s="874"/>
      <c r="P25" s="874"/>
      <c r="Q25" s="874"/>
      <c r="R25" s="874"/>
      <c r="S25" s="874"/>
      <c r="T25" s="874"/>
      <c r="U25" s="874"/>
      <c r="V25" s="874"/>
      <c r="W25" s="874"/>
      <c r="X25" s="874"/>
      <c r="Y25" s="874"/>
      <c r="Z25" s="874"/>
      <c r="AA25" s="874"/>
    </row>
    <row r="26" spans="1:27" x14ac:dyDescent="0.25">
      <c r="A26" s="129"/>
      <c r="B26" s="198"/>
      <c r="C26" s="810" t="s">
        <v>306</v>
      </c>
      <c r="D26" s="810" t="s">
        <v>306</v>
      </c>
      <c r="E26" s="473" t="s">
        <v>556</v>
      </c>
      <c r="F26" s="198" t="s">
        <v>539</v>
      </c>
      <c r="G26" s="32"/>
      <c r="H26" s="333"/>
      <c r="I26" s="671"/>
      <c r="J26" s="333">
        <f>SUM(J27:J27)</f>
        <v>8401999.0040000007</v>
      </c>
      <c r="K26" s="874"/>
      <c r="L26" s="874"/>
      <c r="M26" s="874"/>
      <c r="N26" s="874"/>
      <c r="O26" s="874"/>
      <c r="P26" s="874"/>
      <c r="Q26" s="874"/>
      <c r="R26" s="874"/>
      <c r="S26" s="874"/>
      <c r="T26" s="874"/>
      <c r="U26" s="874"/>
      <c r="V26" s="874"/>
      <c r="W26" s="874"/>
      <c r="X26" s="874"/>
      <c r="Y26" s="874"/>
      <c r="Z26" s="874"/>
      <c r="AA26" s="874"/>
    </row>
    <row r="27" spans="1:27" x14ac:dyDescent="0.25">
      <c r="A27" s="813"/>
      <c r="B27" s="870"/>
      <c r="C27" s="66" t="s">
        <v>306</v>
      </c>
      <c r="D27" s="774" t="s">
        <v>68</v>
      </c>
      <c r="E27" s="649" t="str">
        <f>" - " &amp; 'Giá Máy'!E12</f>
        <v xml:space="preserve"> - Máy đào 3,6m3</v>
      </c>
      <c r="F27" s="870" t="str">
        <f>'Giá Máy'!F12</f>
        <v>ca</v>
      </c>
      <c r="G27" s="725">
        <f>PTVT!G16</f>
        <v>0.97299999999999998</v>
      </c>
      <c r="H27" s="484">
        <f>'Giá Máy'!O12</f>
        <v>8635148</v>
      </c>
      <c r="I27" s="441">
        <f>'Tiên lượng'!X10</f>
        <v>1</v>
      </c>
      <c r="J27" s="484">
        <f>PRODUCT(G27,H27,I27)</f>
        <v>8401999.0040000007</v>
      </c>
      <c r="K27" s="874"/>
      <c r="L27" s="874"/>
      <c r="M27" s="874"/>
      <c r="N27" s="874"/>
      <c r="O27" s="874"/>
      <c r="P27" s="874"/>
      <c r="Q27" s="874"/>
      <c r="R27" s="874"/>
      <c r="S27" s="874"/>
      <c r="T27" s="874"/>
      <c r="U27" s="874"/>
      <c r="V27" s="874"/>
      <c r="W27" s="874"/>
      <c r="X27" s="874"/>
      <c r="Y27" s="874"/>
      <c r="Z27" s="874"/>
      <c r="AA27" s="874"/>
    </row>
    <row r="28" spans="1:27" x14ac:dyDescent="0.25">
      <c r="A28" s="813"/>
      <c r="B28" s="870"/>
      <c r="C28" s="66" t="s">
        <v>306</v>
      </c>
      <c r="D28" s="774" t="s">
        <v>306</v>
      </c>
      <c r="E28" s="649" t="s">
        <v>1211</v>
      </c>
      <c r="F28" s="870" t="s">
        <v>969</v>
      </c>
      <c r="G28" s="735"/>
      <c r="H28" s="484"/>
      <c r="I28" s="441"/>
      <c r="J28" s="484">
        <f>J23+J24+J26</f>
        <v>8555173.0640000012</v>
      </c>
      <c r="K28" s="874"/>
      <c r="L28" s="874"/>
      <c r="M28" s="874"/>
      <c r="N28" s="874"/>
      <c r="O28" s="874"/>
      <c r="P28" s="874"/>
      <c r="Q28" s="874"/>
      <c r="R28" s="874"/>
      <c r="S28" s="874"/>
      <c r="T28" s="874"/>
      <c r="U28" s="874"/>
      <c r="V28" s="874"/>
      <c r="W28" s="874"/>
      <c r="X28" s="874"/>
      <c r="Y28" s="874"/>
      <c r="Z28" s="874"/>
      <c r="AA28" s="874"/>
    </row>
    <row r="29" spans="1:27" x14ac:dyDescent="0.25">
      <c r="A29" s="813"/>
      <c r="B29" s="870"/>
      <c r="C29" s="66" t="s">
        <v>306</v>
      </c>
      <c r="D29" s="774" t="s">
        <v>306</v>
      </c>
      <c r="E29" s="649" t="s">
        <v>581</v>
      </c>
      <c r="F29" s="870" t="s">
        <v>892</v>
      </c>
      <c r="G29" s="694">
        <f>'Hệ số'!D5</f>
        <v>6.2E-2</v>
      </c>
      <c r="H29" s="484"/>
      <c r="I29" s="441"/>
      <c r="J29" s="484">
        <f>(J28)*G29</f>
        <v>530420.72996800009</v>
      </c>
      <c r="K29" s="874"/>
      <c r="L29" s="874"/>
      <c r="M29" s="874"/>
      <c r="N29" s="874"/>
      <c r="O29" s="874"/>
      <c r="P29" s="874"/>
      <c r="Q29" s="874"/>
      <c r="R29" s="874"/>
      <c r="S29" s="874"/>
      <c r="T29" s="874"/>
      <c r="U29" s="874"/>
      <c r="V29" s="874"/>
      <c r="W29" s="874"/>
      <c r="X29" s="874"/>
      <c r="Y29" s="874"/>
      <c r="Z29" s="874"/>
      <c r="AA29" s="874"/>
    </row>
    <row r="30" spans="1:27" x14ac:dyDescent="0.25">
      <c r="A30" s="813"/>
      <c r="B30" s="870"/>
      <c r="C30" s="66" t="s">
        <v>306</v>
      </c>
      <c r="D30" s="774" t="s">
        <v>306</v>
      </c>
      <c r="E30" s="649" t="s">
        <v>634</v>
      </c>
      <c r="F30" s="870" t="s">
        <v>997</v>
      </c>
      <c r="G30" s="694">
        <f>'Hệ số'!D11</f>
        <v>1.1000000000000001E-2</v>
      </c>
      <c r="H30" s="484"/>
      <c r="I30" s="441"/>
      <c r="J30" s="484">
        <f>(J28)*G30</f>
        <v>94106.903704000026</v>
      </c>
      <c r="K30" s="874"/>
      <c r="L30" s="874"/>
      <c r="M30" s="874"/>
      <c r="N30" s="874"/>
      <c r="O30" s="874"/>
      <c r="P30" s="874"/>
      <c r="Q30" s="874"/>
      <c r="R30" s="874"/>
      <c r="S30" s="874"/>
      <c r="T30" s="874"/>
      <c r="U30" s="874"/>
      <c r="V30" s="874"/>
      <c r="W30" s="874"/>
      <c r="X30" s="874"/>
      <c r="Y30" s="874"/>
      <c r="Z30" s="874"/>
      <c r="AA30" s="874"/>
    </row>
    <row r="31" spans="1:27" ht="30" x14ac:dyDescent="0.25">
      <c r="A31" s="813"/>
      <c r="B31" s="870"/>
      <c r="C31" s="66" t="s">
        <v>306</v>
      </c>
      <c r="D31" s="774" t="s">
        <v>306</v>
      </c>
      <c r="E31" s="649" t="s">
        <v>51</v>
      </c>
      <c r="F31" s="870" t="s">
        <v>172</v>
      </c>
      <c r="G31" s="319">
        <f>'Hệ số'!D8</f>
        <v>0.02</v>
      </c>
      <c r="H31" s="484"/>
      <c r="I31" s="441"/>
      <c r="J31" s="484">
        <f>(J28)*G31</f>
        <v>171103.46128000002</v>
      </c>
      <c r="K31" s="874"/>
      <c r="L31" s="874"/>
      <c r="M31" s="874"/>
      <c r="N31" s="874"/>
      <c r="O31" s="874"/>
      <c r="P31" s="874"/>
      <c r="Q31" s="874"/>
      <c r="R31" s="874"/>
      <c r="S31" s="874"/>
      <c r="T31" s="874"/>
      <c r="U31" s="874"/>
      <c r="V31" s="874"/>
      <c r="W31" s="874"/>
      <c r="X31" s="874"/>
      <c r="Y31" s="874"/>
      <c r="Z31" s="874"/>
      <c r="AA31" s="874"/>
    </row>
    <row r="32" spans="1:27" x14ac:dyDescent="0.25">
      <c r="A32" s="813"/>
      <c r="B32" s="870"/>
      <c r="C32" s="66" t="s">
        <v>306</v>
      </c>
      <c r="D32" s="774" t="s">
        <v>306</v>
      </c>
      <c r="E32" s="649" t="s">
        <v>4</v>
      </c>
      <c r="F32" s="870" t="s">
        <v>1074</v>
      </c>
      <c r="G32" s="735"/>
      <c r="H32" s="484"/>
      <c r="I32" s="441"/>
      <c r="J32" s="484">
        <f>J29+J30+J31</f>
        <v>795631.09495200019</v>
      </c>
      <c r="K32" s="874"/>
      <c r="L32" s="874"/>
      <c r="M32" s="874"/>
      <c r="N32" s="874"/>
      <c r="O32" s="874"/>
      <c r="P32" s="874"/>
      <c r="Q32" s="874"/>
      <c r="R32" s="874"/>
      <c r="S32" s="874"/>
      <c r="T32" s="874"/>
      <c r="U32" s="874"/>
      <c r="V32" s="874"/>
      <c r="W32" s="874"/>
      <c r="X32" s="874"/>
      <c r="Y32" s="874"/>
      <c r="Z32" s="874"/>
      <c r="AA32" s="874"/>
    </row>
    <row r="33" spans="1:27" ht="30" x14ac:dyDescent="0.25">
      <c r="A33" s="813"/>
      <c r="B33" s="870"/>
      <c r="C33" s="66" t="s">
        <v>306</v>
      </c>
      <c r="D33" s="774" t="s">
        <v>306</v>
      </c>
      <c r="E33" s="649" t="s">
        <v>926</v>
      </c>
      <c r="F33" s="870" t="s">
        <v>877</v>
      </c>
      <c r="G33" s="319">
        <f>'Hệ số'!D15</f>
        <v>0.06</v>
      </c>
      <c r="H33" s="484"/>
      <c r="I33" s="441"/>
      <c r="J33" s="484">
        <f>(J28+J32)*G33</f>
        <v>561048.24953712011</v>
      </c>
      <c r="K33" s="874"/>
      <c r="L33" s="874"/>
      <c r="M33" s="874"/>
      <c r="N33" s="874"/>
      <c r="O33" s="874"/>
      <c r="P33" s="874"/>
      <c r="Q33" s="874"/>
      <c r="R33" s="874"/>
      <c r="S33" s="874"/>
      <c r="T33" s="874"/>
      <c r="U33" s="874"/>
      <c r="V33" s="874"/>
      <c r="W33" s="874"/>
      <c r="X33" s="874"/>
      <c r="Y33" s="874"/>
      <c r="Z33" s="874"/>
      <c r="AA33" s="874"/>
    </row>
    <row r="34" spans="1:27" x14ac:dyDescent="0.25">
      <c r="A34" s="813"/>
      <c r="B34" s="870"/>
      <c r="C34" s="66" t="s">
        <v>306</v>
      </c>
      <c r="D34" s="774" t="s">
        <v>306</v>
      </c>
      <c r="E34" s="421" t="s">
        <v>699</v>
      </c>
      <c r="F34" s="143" t="s">
        <v>516</v>
      </c>
      <c r="G34" s="735"/>
      <c r="H34" s="484"/>
      <c r="I34" s="441"/>
      <c r="J34" s="270">
        <f>J28+J32+J33</f>
        <v>9911852.4084891211</v>
      </c>
      <c r="K34" s="874"/>
      <c r="L34" s="874"/>
      <c r="M34" s="874"/>
      <c r="N34" s="874"/>
      <c r="O34" s="874"/>
      <c r="P34" s="874"/>
      <c r="Q34" s="874"/>
      <c r="R34" s="874"/>
      <c r="S34" s="874"/>
      <c r="T34" s="874"/>
      <c r="U34" s="874"/>
      <c r="V34" s="874"/>
      <c r="W34" s="874"/>
      <c r="X34" s="874"/>
      <c r="Y34" s="874"/>
      <c r="Z34" s="874"/>
      <c r="AA34" s="874"/>
    </row>
    <row r="35" spans="1:27" x14ac:dyDescent="0.25">
      <c r="A35" s="813"/>
      <c r="B35" s="870"/>
      <c r="C35" s="66" t="s">
        <v>306</v>
      </c>
      <c r="D35" s="774" t="s">
        <v>306</v>
      </c>
      <c r="E35" s="649" t="s">
        <v>1117</v>
      </c>
      <c r="F35" s="870" t="s">
        <v>447</v>
      </c>
      <c r="G35" s="319">
        <f>'Hệ số'!D17</f>
        <v>0.08</v>
      </c>
      <c r="H35" s="484"/>
      <c r="I35" s="441"/>
      <c r="J35" s="484">
        <f>(J34)*G35</f>
        <v>792948.19267912966</v>
      </c>
      <c r="K35" s="874"/>
      <c r="L35" s="874"/>
      <c r="M35" s="874"/>
      <c r="N35" s="874"/>
      <c r="O35" s="874"/>
      <c r="P35" s="874"/>
      <c r="Q35" s="874"/>
      <c r="R35" s="874"/>
      <c r="S35" s="874"/>
      <c r="T35" s="874"/>
      <c r="U35" s="874"/>
      <c r="V35" s="874"/>
      <c r="W35" s="874"/>
      <c r="X35" s="874"/>
      <c r="Y35" s="874"/>
      <c r="Z35" s="874"/>
      <c r="AA35" s="874"/>
    </row>
    <row r="36" spans="1:27" x14ac:dyDescent="0.25">
      <c r="A36" s="468"/>
      <c r="B36" s="534"/>
      <c r="C36" s="638" t="s">
        <v>306</v>
      </c>
      <c r="D36" s="420" t="s">
        <v>306</v>
      </c>
      <c r="E36" s="438" t="s">
        <v>1316</v>
      </c>
      <c r="F36" s="698" t="s">
        <v>927</v>
      </c>
      <c r="G36" s="750"/>
      <c r="H36" s="128"/>
      <c r="I36" s="462"/>
      <c r="J36" s="880">
        <f>J34+J35</f>
        <v>10704800.601168251</v>
      </c>
      <c r="K36" s="874"/>
      <c r="L36" s="874"/>
      <c r="M36" s="874"/>
      <c r="N36" s="874"/>
      <c r="O36" s="874"/>
      <c r="P36" s="874"/>
      <c r="Q36" s="874"/>
      <c r="R36" s="874"/>
      <c r="S36" s="874"/>
      <c r="T36" s="874"/>
      <c r="U36" s="874"/>
      <c r="V36" s="874"/>
      <c r="W36" s="874"/>
      <c r="X36" s="874"/>
      <c r="Y36" s="874"/>
      <c r="Z36" s="874"/>
      <c r="AA36" s="874"/>
    </row>
    <row r="37" spans="1:27" ht="45" x14ac:dyDescent="0.25">
      <c r="A37" s="895"/>
      <c r="B37" s="58">
        <v>3</v>
      </c>
      <c r="C37" s="137" t="str">
        <f>'Tiên lượng'!C12</f>
        <v>AB.56412</v>
      </c>
      <c r="D37" s="137" t="str">
        <f>'Tiên lượng'!C12</f>
        <v>AB.56412</v>
      </c>
      <c r="E37" s="693" t="str">
        <f>'Tiên lượng'!D12</f>
        <v>Vận chuyển đá tảng, cục bê tông, ĐK 0,4÷1m, ô tô tự đổ 12T trong phạm vi ≤1000m</v>
      </c>
      <c r="F37" s="58" t="str">
        <f>'Tiên lượng'!E12</f>
        <v>100m3</v>
      </c>
      <c r="G37" s="254"/>
      <c r="H37" s="194"/>
      <c r="I37" s="527"/>
      <c r="J37" s="194"/>
      <c r="K37" s="874"/>
      <c r="L37" s="874"/>
      <c r="M37" s="874"/>
      <c r="N37" s="874"/>
      <c r="O37" s="874"/>
      <c r="P37" s="874"/>
      <c r="Q37" s="874"/>
      <c r="R37" s="874"/>
      <c r="S37" s="874"/>
      <c r="T37" s="874"/>
      <c r="U37" s="874"/>
      <c r="V37" s="874"/>
      <c r="W37" s="874"/>
      <c r="X37" s="874"/>
      <c r="Y37" s="874"/>
      <c r="Z37" s="874"/>
      <c r="AA37" s="874"/>
    </row>
    <row r="38" spans="1:27" x14ac:dyDescent="0.25">
      <c r="A38" s="129"/>
      <c r="B38" s="198"/>
      <c r="C38" s="810" t="s">
        <v>306</v>
      </c>
      <c r="D38" s="810" t="s">
        <v>306</v>
      </c>
      <c r="E38" s="473" t="s">
        <v>1372</v>
      </c>
      <c r="F38" s="198" t="s">
        <v>479</v>
      </c>
      <c r="G38" s="32"/>
      <c r="H38" s="333"/>
      <c r="I38" s="671"/>
      <c r="J38" s="333">
        <v>0</v>
      </c>
      <c r="K38" s="874"/>
      <c r="L38" s="874"/>
      <c r="M38" s="874"/>
      <c r="N38" s="874"/>
      <c r="O38" s="874"/>
      <c r="P38" s="874"/>
      <c r="Q38" s="874"/>
      <c r="R38" s="874"/>
      <c r="S38" s="874"/>
      <c r="T38" s="874"/>
      <c r="U38" s="874"/>
      <c r="V38" s="874"/>
      <c r="W38" s="874"/>
      <c r="X38" s="874"/>
      <c r="Y38" s="874"/>
      <c r="Z38" s="874"/>
      <c r="AA38" s="874"/>
    </row>
    <row r="39" spans="1:27" x14ac:dyDescent="0.25">
      <c r="A39" s="129"/>
      <c r="B39" s="198"/>
      <c r="C39" s="810" t="s">
        <v>306</v>
      </c>
      <c r="D39" s="810" t="s">
        <v>306</v>
      </c>
      <c r="E39" s="473" t="s">
        <v>890</v>
      </c>
      <c r="F39" s="198" t="s">
        <v>125</v>
      </c>
      <c r="G39" s="32"/>
      <c r="H39" s="333"/>
      <c r="I39" s="671"/>
      <c r="J39" s="333">
        <v>0</v>
      </c>
      <c r="K39" s="874"/>
      <c r="L39" s="874"/>
      <c r="M39" s="874"/>
      <c r="N39" s="874"/>
      <c r="O39" s="874"/>
      <c r="P39" s="874"/>
      <c r="Q39" s="874"/>
      <c r="R39" s="874"/>
      <c r="S39" s="874"/>
      <c r="T39" s="874"/>
      <c r="U39" s="874"/>
      <c r="V39" s="874"/>
      <c r="W39" s="874"/>
      <c r="X39" s="874"/>
      <c r="Y39" s="874"/>
      <c r="Z39" s="874"/>
      <c r="AA39" s="874"/>
    </row>
    <row r="40" spans="1:27" x14ac:dyDescent="0.25">
      <c r="A40" s="129"/>
      <c r="B40" s="198"/>
      <c r="C40" s="810" t="s">
        <v>306</v>
      </c>
      <c r="D40" s="810" t="s">
        <v>306</v>
      </c>
      <c r="E40" s="473" t="s">
        <v>556</v>
      </c>
      <c r="F40" s="198" t="s">
        <v>539</v>
      </c>
      <c r="G40" s="32"/>
      <c r="H40" s="333"/>
      <c r="I40" s="671"/>
      <c r="J40" s="333">
        <f>SUM(J41:J41)</f>
        <v>7400473.6320000002</v>
      </c>
      <c r="K40" s="874"/>
      <c r="L40" s="874"/>
      <c r="M40" s="874"/>
      <c r="N40" s="874"/>
      <c r="O40" s="874"/>
      <c r="P40" s="874"/>
      <c r="Q40" s="874"/>
      <c r="R40" s="874"/>
      <c r="S40" s="874"/>
      <c r="T40" s="874"/>
      <c r="U40" s="874"/>
      <c r="V40" s="874"/>
      <c r="W40" s="874"/>
      <c r="X40" s="874"/>
      <c r="Y40" s="874"/>
      <c r="Z40" s="874"/>
      <c r="AA40" s="874"/>
    </row>
    <row r="41" spans="1:27" x14ac:dyDescent="0.25">
      <c r="A41" s="813"/>
      <c r="B41" s="870"/>
      <c r="C41" s="66" t="s">
        <v>306</v>
      </c>
      <c r="D41" s="774" t="s">
        <v>111</v>
      </c>
      <c r="E41" s="649" t="str">
        <f>" - " &amp; 'Giá Máy'!E17</f>
        <v xml:space="preserve"> - Ô tô tự đổ 12T</v>
      </c>
      <c r="F41" s="870" t="str">
        <f>'Giá Máy'!F17</f>
        <v>ca</v>
      </c>
      <c r="G41" s="725">
        <f>PTVT!G19</f>
        <v>3.1520000000000001</v>
      </c>
      <c r="H41" s="484">
        <f>'Giá Máy'!O17</f>
        <v>2347866</v>
      </c>
      <c r="I41" s="441">
        <f>'Tiên lượng'!X12</f>
        <v>1</v>
      </c>
      <c r="J41" s="484">
        <f>PRODUCT(G41,H41,I41)</f>
        <v>7400473.6320000002</v>
      </c>
      <c r="K41" s="874"/>
      <c r="L41" s="874"/>
      <c r="M41" s="874"/>
      <c r="N41" s="874"/>
      <c r="O41" s="874"/>
      <c r="P41" s="874"/>
      <c r="Q41" s="874"/>
      <c r="R41" s="874"/>
      <c r="S41" s="874"/>
      <c r="T41" s="874"/>
      <c r="U41" s="874"/>
      <c r="V41" s="874"/>
      <c r="W41" s="874"/>
      <c r="X41" s="874"/>
      <c r="Y41" s="874"/>
      <c r="Z41" s="874"/>
      <c r="AA41" s="874"/>
    </row>
    <row r="42" spans="1:27" x14ac:dyDescent="0.25">
      <c r="A42" s="813"/>
      <c r="B42" s="870"/>
      <c r="C42" s="66" t="s">
        <v>306</v>
      </c>
      <c r="D42" s="774" t="s">
        <v>306</v>
      </c>
      <c r="E42" s="649" t="s">
        <v>1211</v>
      </c>
      <c r="F42" s="870" t="s">
        <v>969</v>
      </c>
      <c r="G42" s="735"/>
      <c r="H42" s="484"/>
      <c r="I42" s="441"/>
      <c r="J42" s="484">
        <f>J38+J39+J40</f>
        <v>7400473.6320000002</v>
      </c>
      <c r="K42" s="874"/>
      <c r="L42" s="874"/>
      <c r="M42" s="874"/>
      <c r="N42" s="874"/>
      <c r="O42" s="874"/>
      <c r="P42" s="874"/>
      <c r="Q42" s="874"/>
      <c r="R42" s="874"/>
      <c r="S42" s="874"/>
      <c r="T42" s="874"/>
      <c r="U42" s="874"/>
      <c r="V42" s="874"/>
      <c r="W42" s="874"/>
      <c r="X42" s="874"/>
      <c r="Y42" s="874"/>
      <c r="Z42" s="874"/>
      <c r="AA42" s="874"/>
    </row>
    <row r="43" spans="1:27" x14ac:dyDescent="0.25">
      <c r="A43" s="813"/>
      <c r="B43" s="870"/>
      <c r="C43" s="66" t="s">
        <v>306</v>
      </c>
      <c r="D43" s="774" t="s">
        <v>306</v>
      </c>
      <c r="E43" s="649" t="s">
        <v>581</v>
      </c>
      <c r="F43" s="870" t="s">
        <v>892</v>
      </c>
      <c r="G43" s="694">
        <f>'Hệ số'!D5</f>
        <v>6.2E-2</v>
      </c>
      <c r="H43" s="484"/>
      <c r="I43" s="441"/>
      <c r="J43" s="484">
        <f>(J42)*G43</f>
        <v>458829.36518399999</v>
      </c>
      <c r="K43" s="874"/>
      <c r="L43" s="874"/>
      <c r="M43" s="874"/>
      <c r="N43" s="874"/>
      <c r="O43" s="874"/>
      <c r="P43" s="874"/>
      <c r="Q43" s="874"/>
      <c r="R43" s="874"/>
      <c r="S43" s="874"/>
      <c r="T43" s="874"/>
      <c r="U43" s="874"/>
      <c r="V43" s="874"/>
      <c r="W43" s="874"/>
      <c r="X43" s="874"/>
      <c r="Y43" s="874"/>
      <c r="Z43" s="874"/>
      <c r="AA43" s="874"/>
    </row>
    <row r="44" spans="1:27" x14ac:dyDescent="0.25">
      <c r="A44" s="813"/>
      <c r="B44" s="870"/>
      <c r="C44" s="66" t="s">
        <v>306</v>
      </c>
      <c r="D44" s="774" t="s">
        <v>306</v>
      </c>
      <c r="E44" s="649" t="s">
        <v>634</v>
      </c>
      <c r="F44" s="870" t="s">
        <v>997</v>
      </c>
      <c r="G44" s="694">
        <f>'Hệ số'!D11</f>
        <v>1.1000000000000001E-2</v>
      </c>
      <c r="H44" s="484"/>
      <c r="I44" s="441"/>
      <c r="J44" s="484">
        <f>(J42)*G44</f>
        <v>81405.209952000005</v>
      </c>
      <c r="K44" s="874"/>
      <c r="L44" s="874"/>
      <c r="M44" s="874"/>
      <c r="N44" s="874"/>
      <c r="O44" s="874"/>
      <c r="P44" s="874"/>
      <c r="Q44" s="874"/>
      <c r="R44" s="874"/>
      <c r="S44" s="874"/>
      <c r="T44" s="874"/>
      <c r="U44" s="874"/>
      <c r="V44" s="874"/>
      <c r="W44" s="874"/>
      <c r="X44" s="874"/>
      <c r="Y44" s="874"/>
      <c r="Z44" s="874"/>
      <c r="AA44" s="874"/>
    </row>
    <row r="45" spans="1:27" ht="30" x14ac:dyDescent="0.25">
      <c r="A45" s="813"/>
      <c r="B45" s="870"/>
      <c r="C45" s="66" t="s">
        <v>306</v>
      </c>
      <c r="D45" s="774" t="s">
        <v>306</v>
      </c>
      <c r="E45" s="649" t="s">
        <v>51</v>
      </c>
      <c r="F45" s="870" t="s">
        <v>172</v>
      </c>
      <c r="G45" s="319">
        <f>'Hệ số'!D8</f>
        <v>0.02</v>
      </c>
      <c r="H45" s="484"/>
      <c r="I45" s="441"/>
      <c r="J45" s="484">
        <f>(J42)*G45</f>
        <v>148009.47264000002</v>
      </c>
      <c r="K45" s="874"/>
      <c r="L45" s="874"/>
      <c r="M45" s="874"/>
      <c r="N45" s="874"/>
      <c r="O45" s="874"/>
      <c r="P45" s="874"/>
      <c r="Q45" s="874"/>
      <c r="R45" s="874"/>
      <c r="S45" s="874"/>
      <c r="T45" s="874"/>
      <c r="U45" s="874"/>
      <c r="V45" s="874"/>
      <c r="W45" s="874"/>
      <c r="X45" s="874"/>
      <c r="Y45" s="874"/>
      <c r="Z45" s="874"/>
      <c r="AA45" s="874"/>
    </row>
    <row r="46" spans="1:27" x14ac:dyDescent="0.25">
      <c r="A46" s="813"/>
      <c r="B46" s="870"/>
      <c r="C46" s="66" t="s">
        <v>306</v>
      </c>
      <c r="D46" s="774" t="s">
        <v>306</v>
      </c>
      <c r="E46" s="649" t="s">
        <v>4</v>
      </c>
      <c r="F46" s="870" t="s">
        <v>1074</v>
      </c>
      <c r="G46" s="735"/>
      <c r="H46" s="484"/>
      <c r="I46" s="441"/>
      <c r="J46" s="484">
        <f>J43+J44+J45</f>
        <v>688244.04777600011</v>
      </c>
      <c r="K46" s="874"/>
      <c r="L46" s="874"/>
      <c r="M46" s="874"/>
      <c r="N46" s="874"/>
      <c r="O46" s="874"/>
      <c r="P46" s="874"/>
      <c r="Q46" s="874"/>
      <c r="R46" s="874"/>
      <c r="S46" s="874"/>
      <c r="T46" s="874"/>
      <c r="U46" s="874"/>
      <c r="V46" s="874"/>
      <c r="W46" s="874"/>
      <c r="X46" s="874"/>
      <c r="Y46" s="874"/>
      <c r="Z46" s="874"/>
      <c r="AA46" s="874"/>
    </row>
    <row r="47" spans="1:27" ht="30" x14ac:dyDescent="0.25">
      <c r="A47" s="813"/>
      <c r="B47" s="870"/>
      <c r="C47" s="66" t="s">
        <v>306</v>
      </c>
      <c r="D47" s="774" t="s">
        <v>306</v>
      </c>
      <c r="E47" s="649" t="s">
        <v>926</v>
      </c>
      <c r="F47" s="870" t="s">
        <v>877</v>
      </c>
      <c r="G47" s="319">
        <f>'Hệ số'!D15</f>
        <v>0.06</v>
      </c>
      <c r="H47" s="484"/>
      <c r="I47" s="441"/>
      <c r="J47" s="484">
        <f>(J42+J46)*G47</f>
        <v>485323.06078655994</v>
      </c>
      <c r="K47" s="874"/>
      <c r="L47" s="874"/>
      <c r="M47" s="874"/>
      <c r="N47" s="874"/>
      <c r="O47" s="874"/>
      <c r="P47" s="874"/>
      <c r="Q47" s="874"/>
      <c r="R47" s="874"/>
      <c r="S47" s="874"/>
      <c r="T47" s="874"/>
      <c r="U47" s="874"/>
      <c r="V47" s="874"/>
      <c r="W47" s="874"/>
      <c r="X47" s="874"/>
      <c r="Y47" s="874"/>
      <c r="Z47" s="874"/>
      <c r="AA47" s="874"/>
    </row>
    <row r="48" spans="1:27" x14ac:dyDescent="0.25">
      <c r="A48" s="813"/>
      <c r="B48" s="870"/>
      <c r="C48" s="66" t="s">
        <v>306</v>
      </c>
      <c r="D48" s="774" t="s">
        <v>306</v>
      </c>
      <c r="E48" s="421" t="s">
        <v>699</v>
      </c>
      <c r="F48" s="143" t="s">
        <v>516</v>
      </c>
      <c r="G48" s="735"/>
      <c r="H48" s="484"/>
      <c r="I48" s="441"/>
      <c r="J48" s="270">
        <f>J42+J46+J47</f>
        <v>8574040.74056256</v>
      </c>
      <c r="K48" s="874"/>
      <c r="L48" s="874"/>
      <c r="M48" s="874"/>
      <c r="N48" s="874"/>
      <c r="O48" s="874"/>
      <c r="P48" s="874"/>
      <c r="Q48" s="874"/>
      <c r="R48" s="874"/>
      <c r="S48" s="874"/>
      <c r="T48" s="874"/>
      <c r="U48" s="874"/>
      <c r="V48" s="874"/>
      <c r="W48" s="874"/>
      <c r="X48" s="874"/>
      <c r="Y48" s="874"/>
      <c r="Z48" s="874"/>
      <c r="AA48" s="874"/>
    </row>
    <row r="49" spans="1:27" x14ac:dyDescent="0.25">
      <c r="A49" s="813"/>
      <c r="B49" s="870"/>
      <c r="C49" s="66" t="s">
        <v>306</v>
      </c>
      <c r="D49" s="774" t="s">
        <v>306</v>
      </c>
      <c r="E49" s="649" t="s">
        <v>1117</v>
      </c>
      <c r="F49" s="870" t="s">
        <v>447</v>
      </c>
      <c r="G49" s="319">
        <f>'Hệ số'!D17</f>
        <v>0.08</v>
      </c>
      <c r="H49" s="484"/>
      <c r="I49" s="441"/>
      <c r="J49" s="484">
        <f>(J48)*G49</f>
        <v>685923.25924500485</v>
      </c>
      <c r="K49" s="874"/>
      <c r="L49" s="874"/>
      <c r="M49" s="874"/>
      <c r="N49" s="874"/>
      <c r="O49" s="874"/>
      <c r="P49" s="874"/>
      <c r="Q49" s="874"/>
      <c r="R49" s="874"/>
      <c r="S49" s="874"/>
      <c r="T49" s="874"/>
      <c r="U49" s="874"/>
      <c r="V49" s="874"/>
      <c r="W49" s="874"/>
      <c r="X49" s="874"/>
      <c r="Y49" s="874"/>
      <c r="Z49" s="874"/>
      <c r="AA49" s="874"/>
    </row>
    <row r="50" spans="1:27" x14ac:dyDescent="0.25">
      <c r="A50" s="468"/>
      <c r="B50" s="534"/>
      <c r="C50" s="638" t="s">
        <v>306</v>
      </c>
      <c r="D50" s="420" t="s">
        <v>306</v>
      </c>
      <c r="E50" s="438" t="s">
        <v>1316</v>
      </c>
      <c r="F50" s="698" t="s">
        <v>927</v>
      </c>
      <c r="G50" s="750"/>
      <c r="H50" s="128"/>
      <c r="I50" s="462"/>
      <c r="J50" s="880">
        <f>J48+J49</f>
        <v>9259963.9998075645</v>
      </c>
      <c r="K50" s="874"/>
      <c r="L50" s="874"/>
      <c r="M50" s="874"/>
      <c r="N50" s="874"/>
      <c r="O50" s="874"/>
      <c r="P50" s="874"/>
      <c r="Q50" s="874"/>
      <c r="R50" s="874"/>
      <c r="S50" s="874"/>
      <c r="T50" s="874"/>
      <c r="U50" s="874"/>
      <c r="V50" s="874"/>
      <c r="W50" s="874"/>
      <c r="X50" s="874"/>
      <c r="Y50" s="874"/>
      <c r="Z50" s="874"/>
      <c r="AA50" s="874"/>
    </row>
    <row r="51" spans="1:27" ht="30" x14ac:dyDescent="0.25">
      <c r="A51" s="895"/>
      <c r="B51" s="58">
        <v>4</v>
      </c>
      <c r="C51" s="137" t="str">
        <f>'Tiên lượng'!C13</f>
        <v>TT</v>
      </c>
      <c r="D51" s="137" t="str">
        <f>'Tiên lượng'!C13</f>
        <v>TT</v>
      </c>
      <c r="E51" s="693" t="str">
        <f>'Tiên lượng'!D13</f>
        <v>Đào xúc đất sạt lở ta luy đồi xuống đường bằng máy xúc đào 0,4m3</v>
      </c>
      <c r="F51" s="58" t="str">
        <f>'Tiên lượng'!E13</f>
        <v>ca</v>
      </c>
      <c r="G51" s="254"/>
      <c r="H51" s="194"/>
      <c r="I51" s="527"/>
      <c r="J51" s="194"/>
      <c r="K51" s="874"/>
      <c r="L51" s="874"/>
      <c r="M51" s="874"/>
      <c r="N51" s="874"/>
      <c r="O51" s="874"/>
      <c r="P51" s="874"/>
      <c r="Q51" s="874"/>
      <c r="R51" s="874"/>
      <c r="S51" s="874"/>
      <c r="T51" s="874"/>
      <c r="U51" s="874"/>
      <c r="V51" s="874"/>
      <c r="W51" s="874"/>
      <c r="X51" s="874"/>
      <c r="Y51" s="874"/>
      <c r="Z51" s="874"/>
      <c r="AA51" s="874"/>
    </row>
    <row r="52" spans="1:27" x14ac:dyDescent="0.25">
      <c r="A52" s="129"/>
      <c r="B52" s="198"/>
      <c r="C52" s="810" t="s">
        <v>306</v>
      </c>
      <c r="D52" s="810" t="s">
        <v>306</v>
      </c>
      <c r="E52" s="473" t="s">
        <v>176</v>
      </c>
      <c r="F52" s="198" t="s">
        <v>479</v>
      </c>
      <c r="G52" s="32"/>
      <c r="H52" s="333"/>
      <c r="I52" s="671"/>
      <c r="J52" s="333">
        <v>0</v>
      </c>
      <c r="K52" s="874"/>
      <c r="L52" s="874"/>
      <c r="M52" s="874"/>
      <c r="N52" s="874"/>
      <c r="O52" s="874"/>
      <c r="P52" s="874"/>
      <c r="Q52" s="874"/>
      <c r="R52" s="874"/>
      <c r="S52" s="874"/>
      <c r="T52" s="874"/>
      <c r="U52" s="874"/>
      <c r="V52" s="874"/>
      <c r="W52" s="874"/>
      <c r="X52" s="874"/>
      <c r="Y52" s="874"/>
      <c r="Z52" s="874"/>
      <c r="AA52" s="874"/>
    </row>
    <row r="53" spans="1:27" x14ac:dyDescent="0.25">
      <c r="A53" s="129"/>
      <c r="B53" s="198"/>
      <c r="C53" s="810" t="s">
        <v>306</v>
      </c>
      <c r="D53" s="810" t="s">
        <v>306</v>
      </c>
      <c r="E53" s="473" t="s">
        <v>740</v>
      </c>
      <c r="F53" s="198" t="s">
        <v>836</v>
      </c>
      <c r="G53" s="32"/>
      <c r="H53" s="333"/>
      <c r="I53" s="671"/>
      <c r="J53" s="333">
        <v>0</v>
      </c>
      <c r="K53" s="874"/>
      <c r="L53" s="874"/>
      <c r="M53" s="874"/>
      <c r="N53" s="874"/>
      <c r="O53" s="874"/>
      <c r="P53" s="874"/>
      <c r="Q53" s="874"/>
      <c r="R53" s="874"/>
      <c r="S53" s="874"/>
      <c r="T53" s="874"/>
      <c r="U53" s="874"/>
      <c r="V53" s="874"/>
      <c r="W53" s="874"/>
      <c r="X53" s="874"/>
      <c r="Y53" s="874"/>
      <c r="Z53" s="874"/>
      <c r="AA53" s="874"/>
    </row>
    <row r="54" spans="1:27" x14ac:dyDescent="0.25">
      <c r="A54" s="129"/>
      <c r="B54" s="198"/>
      <c r="C54" s="810" t="s">
        <v>306</v>
      </c>
      <c r="D54" s="810" t="s">
        <v>306</v>
      </c>
      <c r="E54" s="473" t="s">
        <v>890</v>
      </c>
      <c r="F54" s="198" t="s">
        <v>125</v>
      </c>
      <c r="G54" s="32"/>
      <c r="H54" s="333"/>
      <c r="I54" s="671"/>
      <c r="J54" s="333">
        <v>0</v>
      </c>
      <c r="K54" s="874"/>
      <c r="L54" s="874"/>
      <c r="M54" s="874"/>
      <c r="N54" s="874"/>
      <c r="O54" s="874"/>
      <c r="P54" s="874"/>
      <c r="Q54" s="874"/>
      <c r="R54" s="874"/>
      <c r="S54" s="874"/>
      <c r="T54" s="874"/>
      <c r="U54" s="874"/>
      <c r="V54" s="874"/>
      <c r="W54" s="874"/>
      <c r="X54" s="874"/>
      <c r="Y54" s="874"/>
      <c r="Z54" s="874"/>
      <c r="AA54" s="874"/>
    </row>
    <row r="55" spans="1:27" x14ac:dyDescent="0.25">
      <c r="A55" s="129"/>
      <c r="B55" s="198"/>
      <c r="C55" s="810" t="s">
        <v>306</v>
      </c>
      <c r="D55" s="810" t="s">
        <v>306</v>
      </c>
      <c r="E55" s="473" t="s">
        <v>556</v>
      </c>
      <c r="F55" s="198" t="s">
        <v>539</v>
      </c>
      <c r="G55" s="32"/>
      <c r="H55" s="333"/>
      <c r="I55" s="671"/>
      <c r="J55" s="333">
        <f>SUM(J56:J56)</f>
        <v>3200000</v>
      </c>
      <c r="K55" s="874"/>
      <c r="L55" s="874"/>
      <c r="M55" s="874"/>
      <c r="N55" s="874"/>
      <c r="O55" s="874"/>
      <c r="P55" s="874"/>
      <c r="Q55" s="874"/>
      <c r="R55" s="874"/>
      <c r="S55" s="874"/>
      <c r="T55" s="874"/>
      <c r="U55" s="874"/>
      <c r="V55" s="874"/>
      <c r="W55" s="874"/>
      <c r="X55" s="874"/>
      <c r="Y55" s="874"/>
      <c r="Z55" s="874"/>
      <c r="AA55" s="874"/>
    </row>
    <row r="56" spans="1:27" x14ac:dyDescent="0.25">
      <c r="A56" s="813"/>
      <c r="B56" s="870"/>
      <c r="C56" s="66" t="s">
        <v>306</v>
      </c>
      <c r="D56" s="774" t="s">
        <v>306</v>
      </c>
      <c r="E56" s="649" t="s">
        <v>1228</v>
      </c>
      <c r="F56" s="870" t="s">
        <v>1272</v>
      </c>
      <c r="G56" s="725">
        <f>PTVT!G26</f>
        <v>1</v>
      </c>
      <c r="H56" s="484">
        <f>'Tiên lượng'!Q13</f>
        <v>3200000</v>
      </c>
      <c r="I56" s="441"/>
      <c r="J56" s="484">
        <f>PRODUCT(G56,H56,I56)</f>
        <v>3200000</v>
      </c>
      <c r="K56" s="874"/>
      <c r="L56" s="874"/>
      <c r="M56" s="874"/>
      <c r="N56" s="874"/>
      <c r="O56" s="874"/>
      <c r="P56" s="874"/>
      <c r="Q56" s="874"/>
      <c r="R56" s="874"/>
      <c r="S56" s="874"/>
      <c r="T56" s="874"/>
      <c r="U56" s="874"/>
      <c r="V56" s="874"/>
      <c r="W56" s="874"/>
      <c r="X56" s="874"/>
      <c r="Y56" s="874"/>
      <c r="Z56" s="874"/>
      <c r="AA56" s="874"/>
    </row>
    <row r="57" spans="1:27" x14ac:dyDescent="0.25">
      <c r="A57" s="813"/>
      <c r="B57" s="870"/>
      <c r="C57" s="66" t="s">
        <v>306</v>
      </c>
      <c r="D57" s="774" t="s">
        <v>306</v>
      </c>
      <c r="E57" s="649" t="s">
        <v>1211</v>
      </c>
      <c r="F57" s="870" t="s">
        <v>969</v>
      </c>
      <c r="G57" s="735"/>
      <c r="H57" s="484"/>
      <c r="I57" s="441"/>
      <c r="J57" s="484">
        <f>J52+J53+J54+J55</f>
        <v>3200000</v>
      </c>
      <c r="K57" s="874"/>
      <c r="L57" s="874"/>
      <c r="M57" s="874"/>
      <c r="N57" s="874"/>
      <c r="O57" s="874"/>
      <c r="P57" s="874"/>
      <c r="Q57" s="874"/>
      <c r="R57" s="874"/>
      <c r="S57" s="874"/>
      <c r="T57" s="874"/>
      <c r="U57" s="874"/>
      <c r="V57" s="874"/>
      <c r="W57" s="874"/>
      <c r="X57" s="874"/>
      <c r="Y57" s="874"/>
      <c r="Z57" s="874"/>
      <c r="AA57" s="874"/>
    </row>
    <row r="58" spans="1:27" x14ac:dyDescent="0.25">
      <c r="A58" s="813"/>
      <c r="B58" s="870"/>
      <c r="C58" s="66" t="s">
        <v>306</v>
      </c>
      <c r="D58" s="774" t="s">
        <v>306</v>
      </c>
      <c r="E58" s="649" t="s">
        <v>581</v>
      </c>
      <c r="F58" s="870" t="s">
        <v>892</v>
      </c>
      <c r="G58" s="694">
        <f>'Hệ số'!D5</f>
        <v>6.2E-2</v>
      </c>
      <c r="H58" s="484"/>
      <c r="I58" s="441"/>
      <c r="J58" s="484">
        <f>(J57)*G58</f>
        <v>198400</v>
      </c>
      <c r="K58" s="874"/>
      <c r="L58" s="874"/>
      <c r="M58" s="874"/>
      <c r="N58" s="874"/>
      <c r="O58" s="874"/>
      <c r="P58" s="874"/>
      <c r="Q58" s="874"/>
      <c r="R58" s="874"/>
      <c r="S58" s="874"/>
      <c r="T58" s="874"/>
      <c r="U58" s="874"/>
      <c r="V58" s="874"/>
      <c r="W58" s="874"/>
      <c r="X58" s="874"/>
      <c r="Y58" s="874"/>
      <c r="Z58" s="874"/>
      <c r="AA58" s="874"/>
    </row>
    <row r="59" spans="1:27" x14ac:dyDescent="0.25">
      <c r="A59" s="813"/>
      <c r="B59" s="870"/>
      <c r="C59" s="66" t="s">
        <v>306</v>
      </c>
      <c r="D59" s="774" t="s">
        <v>306</v>
      </c>
      <c r="E59" s="649" t="s">
        <v>634</v>
      </c>
      <c r="F59" s="870" t="s">
        <v>997</v>
      </c>
      <c r="G59" s="694">
        <f>'Hệ số'!D11</f>
        <v>1.1000000000000001E-2</v>
      </c>
      <c r="H59" s="484"/>
      <c r="I59" s="441"/>
      <c r="J59" s="484">
        <f>(J57)*G59</f>
        <v>35200</v>
      </c>
      <c r="K59" s="874"/>
      <c r="L59" s="874"/>
      <c r="M59" s="874"/>
      <c r="N59" s="874"/>
      <c r="O59" s="874"/>
      <c r="P59" s="874"/>
      <c r="Q59" s="874"/>
      <c r="R59" s="874"/>
      <c r="S59" s="874"/>
      <c r="T59" s="874"/>
      <c r="U59" s="874"/>
      <c r="V59" s="874"/>
      <c r="W59" s="874"/>
      <c r="X59" s="874"/>
      <c r="Y59" s="874"/>
      <c r="Z59" s="874"/>
      <c r="AA59" s="874"/>
    </row>
    <row r="60" spans="1:27" ht="30" x14ac:dyDescent="0.25">
      <c r="A60" s="813"/>
      <c r="B60" s="870"/>
      <c r="C60" s="66" t="s">
        <v>306</v>
      </c>
      <c r="D60" s="774" t="s">
        <v>306</v>
      </c>
      <c r="E60" s="649" t="s">
        <v>51</v>
      </c>
      <c r="F60" s="870" t="s">
        <v>172</v>
      </c>
      <c r="G60" s="319">
        <f>'Hệ số'!D8</f>
        <v>0.02</v>
      </c>
      <c r="H60" s="484"/>
      <c r="I60" s="441"/>
      <c r="J60" s="484">
        <f>(J57)*G60</f>
        <v>64000</v>
      </c>
      <c r="K60" s="874"/>
      <c r="L60" s="874"/>
      <c r="M60" s="874"/>
      <c r="N60" s="874"/>
      <c r="O60" s="874"/>
      <c r="P60" s="874"/>
      <c r="Q60" s="874"/>
      <c r="R60" s="874"/>
      <c r="S60" s="874"/>
      <c r="T60" s="874"/>
      <c r="U60" s="874"/>
      <c r="V60" s="874"/>
      <c r="W60" s="874"/>
      <c r="X60" s="874"/>
      <c r="Y60" s="874"/>
      <c r="Z60" s="874"/>
      <c r="AA60" s="874"/>
    </row>
    <row r="61" spans="1:27" x14ac:dyDescent="0.25">
      <c r="A61" s="813"/>
      <c r="B61" s="870"/>
      <c r="C61" s="66" t="s">
        <v>306</v>
      </c>
      <c r="D61" s="774" t="s">
        <v>306</v>
      </c>
      <c r="E61" s="649" t="s">
        <v>4</v>
      </c>
      <c r="F61" s="870" t="s">
        <v>1074</v>
      </c>
      <c r="G61" s="735"/>
      <c r="H61" s="484"/>
      <c r="I61" s="441"/>
      <c r="J61" s="484">
        <f>J58+J59+J60</f>
        <v>297600</v>
      </c>
      <c r="K61" s="874"/>
      <c r="L61" s="874"/>
      <c r="M61" s="874"/>
      <c r="N61" s="874"/>
      <c r="O61" s="874"/>
      <c r="P61" s="874"/>
      <c r="Q61" s="874"/>
      <c r="R61" s="874"/>
      <c r="S61" s="874"/>
      <c r="T61" s="874"/>
      <c r="U61" s="874"/>
      <c r="V61" s="874"/>
      <c r="W61" s="874"/>
      <c r="X61" s="874"/>
      <c r="Y61" s="874"/>
      <c r="Z61" s="874"/>
      <c r="AA61" s="874"/>
    </row>
    <row r="62" spans="1:27" ht="30" x14ac:dyDescent="0.25">
      <c r="A62" s="813"/>
      <c r="B62" s="870"/>
      <c r="C62" s="66" t="s">
        <v>306</v>
      </c>
      <c r="D62" s="774" t="s">
        <v>306</v>
      </c>
      <c r="E62" s="649" t="s">
        <v>926</v>
      </c>
      <c r="F62" s="870" t="s">
        <v>877</v>
      </c>
      <c r="G62" s="319">
        <f>'Hệ số'!D15</f>
        <v>0.06</v>
      </c>
      <c r="H62" s="484"/>
      <c r="I62" s="441"/>
      <c r="J62" s="484">
        <f>(J57+J61)*G62</f>
        <v>209856</v>
      </c>
      <c r="K62" s="874"/>
      <c r="L62" s="874"/>
      <c r="M62" s="874"/>
      <c r="N62" s="874"/>
      <c r="O62" s="874"/>
      <c r="P62" s="874"/>
      <c r="Q62" s="874"/>
      <c r="R62" s="874"/>
      <c r="S62" s="874"/>
      <c r="T62" s="874"/>
      <c r="U62" s="874"/>
      <c r="V62" s="874"/>
      <c r="W62" s="874"/>
      <c r="X62" s="874"/>
      <c r="Y62" s="874"/>
      <c r="Z62" s="874"/>
      <c r="AA62" s="874"/>
    </row>
    <row r="63" spans="1:27" x14ac:dyDescent="0.25">
      <c r="A63" s="813"/>
      <c r="B63" s="870"/>
      <c r="C63" s="66" t="s">
        <v>306</v>
      </c>
      <c r="D63" s="774" t="s">
        <v>306</v>
      </c>
      <c r="E63" s="421" t="s">
        <v>699</v>
      </c>
      <c r="F63" s="143" t="s">
        <v>516</v>
      </c>
      <c r="G63" s="735"/>
      <c r="H63" s="484"/>
      <c r="I63" s="441"/>
      <c r="J63" s="270">
        <f>J57+J61+J62</f>
        <v>3707456</v>
      </c>
      <c r="K63" s="874"/>
      <c r="L63" s="874"/>
      <c r="M63" s="874"/>
      <c r="N63" s="874"/>
      <c r="O63" s="874"/>
      <c r="P63" s="874"/>
      <c r="Q63" s="874"/>
      <c r="R63" s="874"/>
      <c r="S63" s="874"/>
      <c r="T63" s="874"/>
      <c r="U63" s="874"/>
      <c r="V63" s="874"/>
      <c r="W63" s="874"/>
      <c r="X63" s="874"/>
      <c r="Y63" s="874"/>
      <c r="Z63" s="874"/>
      <c r="AA63" s="874"/>
    </row>
    <row r="64" spans="1:27" x14ac:dyDescent="0.25">
      <c r="A64" s="813"/>
      <c r="B64" s="870"/>
      <c r="C64" s="66" t="s">
        <v>306</v>
      </c>
      <c r="D64" s="774" t="s">
        <v>306</v>
      </c>
      <c r="E64" s="649" t="s">
        <v>1117</v>
      </c>
      <c r="F64" s="870" t="s">
        <v>447</v>
      </c>
      <c r="G64" s="319">
        <f>'Hệ số'!D17</f>
        <v>0.08</v>
      </c>
      <c r="H64" s="484"/>
      <c r="I64" s="441"/>
      <c r="J64" s="484">
        <f>(J63)*G64</f>
        <v>296596.47999999998</v>
      </c>
      <c r="K64" s="874"/>
      <c r="L64" s="874"/>
      <c r="M64" s="874"/>
      <c r="N64" s="874"/>
      <c r="O64" s="874"/>
      <c r="P64" s="874"/>
      <c r="Q64" s="874"/>
      <c r="R64" s="874"/>
      <c r="S64" s="874"/>
      <c r="T64" s="874"/>
      <c r="U64" s="874"/>
      <c r="V64" s="874"/>
      <c r="W64" s="874"/>
      <c r="X64" s="874"/>
      <c r="Y64" s="874"/>
      <c r="Z64" s="874"/>
      <c r="AA64" s="874"/>
    </row>
    <row r="65" spans="1:27" x14ac:dyDescent="0.25">
      <c r="A65" s="468"/>
      <c r="B65" s="534"/>
      <c r="C65" s="638" t="s">
        <v>306</v>
      </c>
      <c r="D65" s="420" t="s">
        <v>306</v>
      </c>
      <c r="E65" s="438" t="s">
        <v>1316</v>
      </c>
      <c r="F65" s="698" t="s">
        <v>927</v>
      </c>
      <c r="G65" s="750"/>
      <c r="H65" s="128"/>
      <c r="I65" s="462"/>
      <c r="J65" s="880">
        <f>J63+J64</f>
        <v>4004052.48</v>
      </c>
      <c r="K65" s="874"/>
      <c r="L65" s="874"/>
      <c r="M65" s="874"/>
      <c r="N65" s="874"/>
      <c r="O65" s="874"/>
      <c r="P65" s="874"/>
      <c r="Q65" s="874"/>
      <c r="R65" s="874"/>
      <c r="S65" s="874"/>
      <c r="T65" s="874"/>
      <c r="U65" s="874"/>
      <c r="V65" s="874"/>
      <c r="W65" s="874"/>
      <c r="X65" s="874"/>
      <c r="Y65" s="874"/>
      <c r="Z65" s="874"/>
      <c r="AA65" s="874"/>
    </row>
    <row r="66" spans="1:27" x14ac:dyDescent="0.25">
      <c r="A66" s="895"/>
      <c r="B66" s="58">
        <v>5</v>
      </c>
      <c r="C66" s="137" t="str">
        <f>'Tiên lượng'!C14</f>
        <v>TT</v>
      </c>
      <c r="D66" s="137" t="str">
        <f>'Tiên lượng'!C14</f>
        <v>TT</v>
      </c>
      <c r="E66" s="693" t="str">
        <f>'Tiên lượng'!D14</f>
        <v>vận chuyển đất sạt lở ta luy đồi bằng ô tô</v>
      </c>
      <c r="F66" s="58" t="str">
        <f>'Tiên lượng'!E14</f>
        <v>ca</v>
      </c>
      <c r="G66" s="254"/>
      <c r="H66" s="194"/>
      <c r="I66" s="527"/>
      <c r="J66" s="194"/>
      <c r="K66" s="874"/>
      <c r="L66" s="874"/>
      <c r="M66" s="874"/>
      <c r="N66" s="874"/>
      <c r="O66" s="874"/>
      <c r="P66" s="874"/>
      <c r="Q66" s="874"/>
      <c r="R66" s="874"/>
      <c r="S66" s="874"/>
      <c r="T66" s="874"/>
      <c r="U66" s="874"/>
      <c r="V66" s="874"/>
      <c r="W66" s="874"/>
      <c r="X66" s="874"/>
      <c r="Y66" s="874"/>
      <c r="Z66" s="874"/>
      <c r="AA66" s="874"/>
    </row>
    <row r="67" spans="1:27" x14ac:dyDescent="0.25">
      <c r="A67" s="129"/>
      <c r="B67" s="198"/>
      <c r="C67" s="810" t="s">
        <v>306</v>
      </c>
      <c r="D67" s="810" t="s">
        <v>306</v>
      </c>
      <c r="E67" s="473" t="s">
        <v>176</v>
      </c>
      <c r="F67" s="198" t="s">
        <v>479</v>
      </c>
      <c r="G67" s="32"/>
      <c r="H67" s="333"/>
      <c r="I67" s="671"/>
      <c r="J67" s="333">
        <v>0</v>
      </c>
      <c r="K67" s="874"/>
      <c r="L67" s="874"/>
      <c r="M67" s="874"/>
      <c r="N67" s="874"/>
      <c r="O67" s="874"/>
      <c r="P67" s="874"/>
      <c r="Q67" s="874"/>
      <c r="R67" s="874"/>
      <c r="S67" s="874"/>
      <c r="T67" s="874"/>
      <c r="U67" s="874"/>
      <c r="V67" s="874"/>
      <c r="W67" s="874"/>
      <c r="X67" s="874"/>
      <c r="Y67" s="874"/>
      <c r="Z67" s="874"/>
      <c r="AA67" s="874"/>
    </row>
    <row r="68" spans="1:27" x14ac:dyDescent="0.25">
      <c r="A68" s="129"/>
      <c r="B68" s="198"/>
      <c r="C68" s="810" t="s">
        <v>306</v>
      </c>
      <c r="D68" s="810" t="s">
        <v>306</v>
      </c>
      <c r="E68" s="473" t="s">
        <v>740</v>
      </c>
      <c r="F68" s="198" t="s">
        <v>836</v>
      </c>
      <c r="G68" s="32"/>
      <c r="H68" s="333"/>
      <c r="I68" s="671"/>
      <c r="J68" s="333">
        <v>0</v>
      </c>
      <c r="K68" s="874"/>
      <c r="L68" s="874"/>
      <c r="M68" s="874"/>
      <c r="N68" s="874"/>
      <c r="O68" s="874"/>
      <c r="P68" s="874"/>
      <c r="Q68" s="874"/>
      <c r="R68" s="874"/>
      <c r="S68" s="874"/>
      <c r="T68" s="874"/>
      <c r="U68" s="874"/>
      <c r="V68" s="874"/>
      <c r="W68" s="874"/>
      <c r="X68" s="874"/>
      <c r="Y68" s="874"/>
      <c r="Z68" s="874"/>
      <c r="AA68" s="874"/>
    </row>
    <row r="69" spans="1:27" x14ac:dyDescent="0.25">
      <c r="A69" s="129"/>
      <c r="B69" s="198"/>
      <c r="C69" s="810" t="s">
        <v>306</v>
      </c>
      <c r="D69" s="810" t="s">
        <v>306</v>
      </c>
      <c r="E69" s="473" t="s">
        <v>890</v>
      </c>
      <c r="F69" s="198" t="s">
        <v>125</v>
      </c>
      <c r="G69" s="32"/>
      <c r="H69" s="333"/>
      <c r="I69" s="671"/>
      <c r="J69" s="333">
        <v>0</v>
      </c>
      <c r="K69" s="874"/>
      <c r="L69" s="874"/>
      <c r="M69" s="874"/>
      <c r="N69" s="874"/>
      <c r="O69" s="874"/>
      <c r="P69" s="874"/>
      <c r="Q69" s="874"/>
      <c r="R69" s="874"/>
      <c r="S69" s="874"/>
      <c r="T69" s="874"/>
      <c r="U69" s="874"/>
      <c r="V69" s="874"/>
      <c r="W69" s="874"/>
      <c r="X69" s="874"/>
      <c r="Y69" s="874"/>
      <c r="Z69" s="874"/>
      <c r="AA69" s="874"/>
    </row>
    <row r="70" spans="1:27" x14ac:dyDescent="0.25">
      <c r="A70" s="129"/>
      <c r="B70" s="198"/>
      <c r="C70" s="810" t="s">
        <v>306</v>
      </c>
      <c r="D70" s="810" t="s">
        <v>306</v>
      </c>
      <c r="E70" s="473" t="s">
        <v>556</v>
      </c>
      <c r="F70" s="198" t="s">
        <v>539</v>
      </c>
      <c r="G70" s="32"/>
      <c r="H70" s="333"/>
      <c r="I70" s="671"/>
      <c r="J70" s="333">
        <f>SUM(J71:J71)</f>
        <v>2000000</v>
      </c>
      <c r="K70" s="874"/>
      <c r="L70" s="874"/>
      <c r="M70" s="874"/>
      <c r="N70" s="874"/>
      <c r="O70" s="874"/>
      <c r="P70" s="874"/>
      <c r="Q70" s="874"/>
      <c r="R70" s="874"/>
      <c r="S70" s="874"/>
      <c r="T70" s="874"/>
      <c r="U70" s="874"/>
      <c r="V70" s="874"/>
      <c r="W70" s="874"/>
      <c r="X70" s="874"/>
      <c r="Y70" s="874"/>
      <c r="Z70" s="874"/>
      <c r="AA70" s="874"/>
    </row>
    <row r="71" spans="1:27" x14ac:dyDescent="0.25">
      <c r="A71" s="813"/>
      <c r="B71" s="870"/>
      <c r="C71" s="66" t="s">
        <v>306</v>
      </c>
      <c r="D71" s="774" t="s">
        <v>306</v>
      </c>
      <c r="E71" s="649" t="s">
        <v>1228</v>
      </c>
      <c r="F71" s="870" t="s">
        <v>1272</v>
      </c>
      <c r="G71" s="725">
        <f>PTVT!G33</f>
        <v>1</v>
      </c>
      <c r="H71" s="484">
        <f>'Tiên lượng'!Q14</f>
        <v>2000000</v>
      </c>
      <c r="I71" s="441"/>
      <c r="J71" s="484">
        <f>PRODUCT(G71,H71,I71)</f>
        <v>2000000</v>
      </c>
      <c r="K71" s="874"/>
      <c r="L71" s="874"/>
      <c r="M71" s="874"/>
      <c r="N71" s="874"/>
      <c r="O71" s="874"/>
      <c r="P71" s="874"/>
      <c r="Q71" s="874"/>
      <c r="R71" s="874"/>
      <c r="S71" s="874"/>
      <c r="T71" s="874"/>
      <c r="U71" s="874"/>
      <c r="V71" s="874"/>
      <c r="W71" s="874"/>
      <c r="X71" s="874"/>
      <c r="Y71" s="874"/>
      <c r="Z71" s="874"/>
      <c r="AA71" s="874"/>
    </row>
    <row r="72" spans="1:27" x14ac:dyDescent="0.25">
      <c r="A72" s="813"/>
      <c r="B72" s="870"/>
      <c r="C72" s="66" t="s">
        <v>306</v>
      </c>
      <c r="D72" s="774" t="s">
        <v>306</v>
      </c>
      <c r="E72" s="649" t="s">
        <v>1211</v>
      </c>
      <c r="F72" s="870" t="s">
        <v>969</v>
      </c>
      <c r="G72" s="735"/>
      <c r="H72" s="484"/>
      <c r="I72" s="441"/>
      <c r="J72" s="484">
        <f>J67+J68+J69+J70</f>
        <v>2000000</v>
      </c>
      <c r="K72" s="874"/>
      <c r="L72" s="874"/>
      <c r="M72" s="874"/>
      <c r="N72" s="874"/>
      <c r="O72" s="874"/>
      <c r="P72" s="874"/>
      <c r="Q72" s="874"/>
      <c r="R72" s="874"/>
      <c r="S72" s="874"/>
      <c r="T72" s="874"/>
      <c r="U72" s="874"/>
      <c r="V72" s="874"/>
      <c r="W72" s="874"/>
      <c r="X72" s="874"/>
      <c r="Y72" s="874"/>
      <c r="Z72" s="874"/>
      <c r="AA72" s="874"/>
    </row>
    <row r="73" spans="1:27" x14ac:dyDescent="0.25">
      <c r="A73" s="813"/>
      <c r="B73" s="870"/>
      <c r="C73" s="66" t="s">
        <v>306</v>
      </c>
      <c r="D73" s="774" t="s">
        <v>306</v>
      </c>
      <c r="E73" s="649" t="s">
        <v>581</v>
      </c>
      <c r="F73" s="870" t="s">
        <v>892</v>
      </c>
      <c r="G73" s="694">
        <f>'Hệ số'!D5</f>
        <v>6.2E-2</v>
      </c>
      <c r="H73" s="484"/>
      <c r="I73" s="441"/>
      <c r="J73" s="484">
        <f>(J72)*G73</f>
        <v>124000</v>
      </c>
      <c r="K73" s="874"/>
      <c r="L73" s="874"/>
      <c r="M73" s="874"/>
      <c r="N73" s="874"/>
      <c r="O73" s="874"/>
      <c r="P73" s="874"/>
      <c r="Q73" s="874"/>
      <c r="R73" s="874"/>
      <c r="S73" s="874"/>
      <c r="T73" s="874"/>
      <c r="U73" s="874"/>
      <c r="V73" s="874"/>
      <c r="W73" s="874"/>
      <c r="X73" s="874"/>
      <c r="Y73" s="874"/>
      <c r="Z73" s="874"/>
      <c r="AA73" s="874"/>
    </row>
    <row r="74" spans="1:27" x14ac:dyDescent="0.25">
      <c r="A74" s="813"/>
      <c r="B74" s="870"/>
      <c r="C74" s="66" t="s">
        <v>306</v>
      </c>
      <c r="D74" s="774" t="s">
        <v>306</v>
      </c>
      <c r="E74" s="649" t="s">
        <v>634</v>
      </c>
      <c r="F74" s="870" t="s">
        <v>997</v>
      </c>
      <c r="G74" s="694">
        <f>'Hệ số'!D11</f>
        <v>1.1000000000000001E-2</v>
      </c>
      <c r="H74" s="484"/>
      <c r="I74" s="441"/>
      <c r="J74" s="484">
        <f>(J72)*G74</f>
        <v>22000.000000000004</v>
      </c>
      <c r="K74" s="874"/>
      <c r="L74" s="874"/>
      <c r="M74" s="874"/>
      <c r="N74" s="874"/>
      <c r="O74" s="874"/>
      <c r="P74" s="874"/>
      <c r="Q74" s="874"/>
      <c r="R74" s="874"/>
      <c r="S74" s="874"/>
      <c r="T74" s="874"/>
      <c r="U74" s="874"/>
      <c r="V74" s="874"/>
      <c r="W74" s="874"/>
      <c r="X74" s="874"/>
      <c r="Y74" s="874"/>
      <c r="Z74" s="874"/>
      <c r="AA74" s="874"/>
    </row>
    <row r="75" spans="1:27" ht="30" x14ac:dyDescent="0.25">
      <c r="A75" s="813"/>
      <c r="B75" s="870"/>
      <c r="C75" s="66" t="s">
        <v>306</v>
      </c>
      <c r="D75" s="774" t="s">
        <v>306</v>
      </c>
      <c r="E75" s="649" t="s">
        <v>51</v>
      </c>
      <c r="F75" s="870" t="s">
        <v>172</v>
      </c>
      <c r="G75" s="319">
        <f>'Hệ số'!D8</f>
        <v>0.02</v>
      </c>
      <c r="H75" s="484"/>
      <c r="I75" s="441"/>
      <c r="J75" s="484">
        <f>(J72)*G75</f>
        <v>40000</v>
      </c>
      <c r="K75" s="874"/>
      <c r="L75" s="874"/>
      <c r="M75" s="874"/>
      <c r="N75" s="874"/>
      <c r="O75" s="874"/>
      <c r="P75" s="874"/>
      <c r="Q75" s="874"/>
      <c r="R75" s="874"/>
      <c r="S75" s="874"/>
      <c r="T75" s="874"/>
      <c r="U75" s="874"/>
      <c r="V75" s="874"/>
      <c r="W75" s="874"/>
      <c r="X75" s="874"/>
      <c r="Y75" s="874"/>
      <c r="Z75" s="874"/>
      <c r="AA75" s="874"/>
    </row>
    <row r="76" spans="1:27" x14ac:dyDescent="0.25">
      <c r="A76" s="813"/>
      <c r="B76" s="870"/>
      <c r="C76" s="66" t="s">
        <v>306</v>
      </c>
      <c r="D76" s="774" t="s">
        <v>306</v>
      </c>
      <c r="E76" s="649" t="s">
        <v>4</v>
      </c>
      <c r="F76" s="870" t="s">
        <v>1074</v>
      </c>
      <c r="G76" s="735"/>
      <c r="H76" s="484"/>
      <c r="I76" s="441"/>
      <c r="J76" s="484">
        <f>J73+J74+J75</f>
        <v>186000</v>
      </c>
      <c r="K76" s="874"/>
      <c r="L76" s="874"/>
      <c r="M76" s="874"/>
      <c r="N76" s="874"/>
      <c r="O76" s="874"/>
      <c r="P76" s="874"/>
      <c r="Q76" s="874"/>
      <c r="R76" s="874"/>
      <c r="S76" s="874"/>
      <c r="T76" s="874"/>
      <c r="U76" s="874"/>
      <c r="V76" s="874"/>
      <c r="W76" s="874"/>
      <c r="X76" s="874"/>
      <c r="Y76" s="874"/>
      <c r="Z76" s="874"/>
      <c r="AA76" s="874"/>
    </row>
    <row r="77" spans="1:27" ht="30" x14ac:dyDescent="0.25">
      <c r="A77" s="813"/>
      <c r="B77" s="870"/>
      <c r="C77" s="66" t="s">
        <v>306</v>
      </c>
      <c r="D77" s="774" t="s">
        <v>306</v>
      </c>
      <c r="E77" s="649" t="s">
        <v>926</v>
      </c>
      <c r="F77" s="870" t="s">
        <v>877</v>
      </c>
      <c r="G77" s="319">
        <f>'Hệ số'!D15</f>
        <v>0.06</v>
      </c>
      <c r="H77" s="484"/>
      <c r="I77" s="441"/>
      <c r="J77" s="484">
        <f>(J72+J76)*G77</f>
        <v>131160</v>
      </c>
      <c r="K77" s="874"/>
      <c r="L77" s="874"/>
      <c r="M77" s="874"/>
      <c r="N77" s="874"/>
      <c r="O77" s="874"/>
      <c r="P77" s="874"/>
      <c r="Q77" s="874"/>
      <c r="R77" s="874"/>
      <c r="S77" s="874"/>
      <c r="T77" s="874"/>
      <c r="U77" s="874"/>
      <c r="V77" s="874"/>
      <c r="W77" s="874"/>
      <c r="X77" s="874"/>
      <c r="Y77" s="874"/>
      <c r="Z77" s="874"/>
      <c r="AA77" s="874"/>
    </row>
    <row r="78" spans="1:27" x14ac:dyDescent="0.25">
      <c r="A78" s="813"/>
      <c r="B78" s="870"/>
      <c r="C78" s="66" t="s">
        <v>306</v>
      </c>
      <c r="D78" s="774" t="s">
        <v>306</v>
      </c>
      <c r="E78" s="421" t="s">
        <v>699</v>
      </c>
      <c r="F78" s="143" t="s">
        <v>516</v>
      </c>
      <c r="G78" s="735"/>
      <c r="H78" s="484"/>
      <c r="I78" s="441"/>
      <c r="J78" s="270">
        <f>J72+J76+J77</f>
        <v>2317160</v>
      </c>
      <c r="K78" s="874"/>
      <c r="L78" s="874"/>
      <c r="M78" s="874"/>
      <c r="N78" s="874"/>
      <c r="O78" s="874"/>
      <c r="P78" s="874"/>
      <c r="Q78" s="874"/>
      <c r="R78" s="874"/>
      <c r="S78" s="874"/>
      <c r="T78" s="874"/>
      <c r="U78" s="874"/>
      <c r="V78" s="874"/>
      <c r="W78" s="874"/>
      <c r="X78" s="874"/>
      <c r="Y78" s="874"/>
      <c r="Z78" s="874"/>
      <c r="AA78" s="874"/>
    </row>
    <row r="79" spans="1:27" x14ac:dyDescent="0.25">
      <c r="A79" s="813"/>
      <c r="B79" s="870"/>
      <c r="C79" s="66" t="s">
        <v>306</v>
      </c>
      <c r="D79" s="774" t="s">
        <v>306</v>
      </c>
      <c r="E79" s="649" t="s">
        <v>1117</v>
      </c>
      <c r="F79" s="870" t="s">
        <v>447</v>
      </c>
      <c r="G79" s="319">
        <f>'Hệ số'!D17</f>
        <v>0.08</v>
      </c>
      <c r="H79" s="484"/>
      <c r="I79" s="441"/>
      <c r="J79" s="484">
        <f>(J78)*G79</f>
        <v>185372.80000000002</v>
      </c>
      <c r="K79" s="874"/>
      <c r="L79" s="874"/>
      <c r="M79" s="874"/>
      <c r="N79" s="874"/>
      <c r="O79" s="874"/>
      <c r="P79" s="874"/>
      <c r="Q79" s="874"/>
      <c r="R79" s="874"/>
      <c r="S79" s="874"/>
      <c r="T79" s="874"/>
      <c r="U79" s="874"/>
      <c r="V79" s="874"/>
      <c r="W79" s="874"/>
      <c r="X79" s="874"/>
      <c r="Y79" s="874"/>
      <c r="Z79" s="874"/>
      <c r="AA79" s="874"/>
    </row>
    <row r="80" spans="1:27" x14ac:dyDescent="0.25">
      <c r="A80" s="468"/>
      <c r="B80" s="534"/>
      <c r="C80" s="638" t="s">
        <v>306</v>
      </c>
      <c r="D80" s="420" t="s">
        <v>306</v>
      </c>
      <c r="E80" s="438" t="s">
        <v>1316</v>
      </c>
      <c r="F80" s="698" t="s">
        <v>927</v>
      </c>
      <c r="G80" s="750"/>
      <c r="H80" s="128"/>
      <c r="I80" s="462"/>
      <c r="J80" s="880">
        <f>J78+J79</f>
        <v>2502532.7999999998</v>
      </c>
      <c r="K80" s="874"/>
      <c r="L80" s="874"/>
      <c r="M80" s="874"/>
      <c r="N80" s="874"/>
      <c r="O80" s="874"/>
      <c r="P80" s="874"/>
      <c r="Q80" s="874"/>
      <c r="R80" s="874"/>
      <c r="S80" s="874"/>
      <c r="T80" s="874"/>
      <c r="U80" s="874"/>
      <c r="V80" s="874"/>
      <c r="W80" s="874"/>
      <c r="X80" s="874"/>
      <c r="Y80" s="874"/>
      <c r="Z80" s="874"/>
      <c r="AA80" s="874"/>
    </row>
    <row r="81" spans="1:27" ht="45" x14ac:dyDescent="0.25">
      <c r="A81" s="895"/>
      <c r="B81" s="58">
        <v>6</v>
      </c>
      <c r="C81" s="137" t="str">
        <f>'Tiên lượng'!C15</f>
        <v>AB.31113</v>
      </c>
      <c r="D81" s="137" t="str">
        <f>'Tiên lượng'!C15</f>
        <v>AB.31113</v>
      </c>
      <c r="E81" s="693" t="str">
        <f>'Tiên lượng'!D15</f>
        <v>Đào nền đường bằng máy đào 0,4m3 - Cấp đất III (Bổ sung TT09/2024). Đào hạ nền đường trung bình 50cm, dài 50m</v>
      </c>
      <c r="F81" s="58" t="str">
        <f>'Tiên lượng'!E15</f>
        <v>100m3</v>
      </c>
      <c r="G81" s="254"/>
      <c r="H81" s="194"/>
      <c r="I81" s="527"/>
      <c r="J81" s="194"/>
      <c r="K81" s="874"/>
      <c r="L81" s="874"/>
      <c r="M81" s="874"/>
      <c r="N81" s="874"/>
      <c r="O81" s="874"/>
      <c r="P81" s="874"/>
      <c r="Q81" s="874"/>
      <c r="R81" s="874"/>
      <c r="S81" s="874"/>
      <c r="T81" s="874"/>
      <c r="U81" s="874"/>
      <c r="V81" s="874"/>
      <c r="W81" s="874"/>
      <c r="X81" s="874"/>
      <c r="Y81" s="874"/>
      <c r="Z81" s="874"/>
      <c r="AA81" s="874"/>
    </row>
    <row r="82" spans="1:27" x14ac:dyDescent="0.25">
      <c r="A82" s="129"/>
      <c r="B82" s="198"/>
      <c r="C82" s="810" t="s">
        <v>306</v>
      </c>
      <c r="D82" s="810" t="s">
        <v>306</v>
      </c>
      <c r="E82" s="473" t="s">
        <v>1372</v>
      </c>
      <c r="F82" s="198" t="s">
        <v>479</v>
      </c>
      <c r="G82" s="32"/>
      <c r="H82" s="333"/>
      <c r="I82" s="671"/>
      <c r="J82" s="333">
        <v>0</v>
      </c>
      <c r="K82" s="874"/>
      <c r="L82" s="874"/>
      <c r="M82" s="874"/>
      <c r="N82" s="874"/>
      <c r="O82" s="874"/>
      <c r="P82" s="874"/>
      <c r="Q82" s="874"/>
      <c r="R82" s="874"/>
      <c r="S82" s="874"/>
      <c r="T82" s="874"/>
      <c r="U82" s="874"/>
      <c r="V82" s="874"/>
      <c r="W82" s="874"/>
      <c r="X82" s="874"/>
      <c r="Y82" s="874"/>
      <c r="Z82" s="874"/>
      <c r="AA82" s="874"/>
    </row>
    <row r="83" spans="1:27" x14ac:dyDescent="0.25">
      <c r="A83" s="129"/>
      <c r="B83" s="198"/>
      <c r="C83" s="810" t="s">
        <v>306</v>
      </c>
      <c r="D83" s="810" t="s">
        <v>306</v>
      </c>
      <c r="E83" s="473" t="s">
        <v>890</v>
      </c>
      <c r="F83" s="198" t="s">
        <v>125</v>
      </c>
      <c r="G83" s="32"/>
      <c r="H83" s="333"/>
      <c r="I83" s="671"/>
      <c r="J83" s="333">
        <f>SUM(J84:J84)</f>
        <v>951050.88</v>
      </c>
      <c r="K83" s="874"/>
      <c r="L83" s="874"/>
      <c r="M83" s="874"/>
      <c r="N83" s="874"/>
      <c r="O83" s="874"/>
      <c r="P83" s="874"/>
      <c r="Q83" s="874"/>
      <c r="R83" s="874"/>
      <c r="S83" s="874"/>
      <c r="T83" s="874"/>
      <c r="U83" s="874"/>
      <c r="V83" s="874"/>
      <c r="W83" s="874"/>
      <c r="X83" s="874"/>
      <c r="Y83" s="874"/>
      <c r="Z83" s="874"/>
      <c r="AA83" s="874"/>
    </row>
    <row r="84" spans="1:27" x14ac:dyDescent="0.25">
      <c r="A84" s="813"/>
      <c r="B84" s="870"/>
      <c r="C84" s="66" t="s">
        <v>306</v>
      </c>
      <c r="D84" s="774" t="s">
        <v>591</v>
      </c>
      <c r="E84" s="649" t="str">
        <f>" - " &amp; 'Giá NC'!E5</f>
        <v xml:space="preserve"> - Nhân công bậc 3,0/7 - Nhóm 1</v>
      </c>
      <c r="F84" s="870" t="str">
        <f>'Giá NC'!F5</f>
        <v>công</v>
      </c>
      <c r="G84" s="725">
        <f>PTVT!G36</f>
        <v>4.16</v>
      </c>
      <c r="H84" s="484">
        <f>'Giá NC'!K5</f>
        <v>228618</v>
      </c>
      <c r="I84" s="441">
        <f>'Tiên lượng'!W15</f>
        <v>1</v>
      </c>
      <c r="J84" s="484">
        <f>PRODUCT(G84,H84,I84)</f>
        <v>951050.88</v>
      </c>
      <c r="K84" s="874"/>
      <c r="L84" s="874"/>
      <c r="M84" s="874"/>
      <c r="N84" s="874"/>
      <c r="O84" s="874"/>
      <c r="P84" s="874"/>
      <c r="Q84" s="874"/>
      <c r="R84" s="874"/>
      <c r="S84" s="874"/>
      <c r="T84" s="874"/>
      <c r="U84" s="874"/>
      <c r="V84" s="874"/>
      <c r="W84" s="874"/>
      <c r="X84" s="874"/>
      <c r="Y84" s="874"/>
      <c r="Z84" s="874"/>
      <c r="AA84" s="874"/>
    </row>
    <row r="85" spans="1:27" x14ac:dyDescent="0.25">
      <c r="A85" s="129"/>
      <c r="B85" s="198"/>
      <c r="C85" s="810" t="s">
        <v>306</v>
      </c>
      <c r="D85" s="810" t="s">
        <v>306</v>
      </c>
      <c r="E85" s="473" t="s">
        <v>556</v>
      </c>
      <c r="F85" s="198" t="s">
        <v>539</v>
      </c>
      <c r="G85" s="32"/>
      <c r="H85" s="333"/>
      <c r="I85" s="671"/>
      <c r="J85" s="333">
        <f>SUM(J86:J86)</f>
        <v>5600000</v>
      </c>
      <c r="K85" s="874"/>
      <c r="L85" s="874"/>
      <c r="M85" s="874"/>
      <c r="N85" s="874"/>
      <c r="O85" s="874"/>
      <c r="P85" s="874"/>
      <c r="Q85" s="874"/>
      <c r="R85" s="874"/>
      <c r="S85" s="874"/>
      <c r="T85" s="874"/>
      <c r="U85" s="874"/>
      <c r="V85" s="874"/>
      <c r="W85" s="874"/>
      <c r="X85" s="874"/>
      <c r="Y85" s="874"/>
      <c r="Z85" s="874"/>
      <c r="AA85" s="874"/>
    </row>
    <row r="86" spans="1:27" x14ac:dyDescent="0.25">
      <c r="A86" s="813"/>
      <c r="B86" s="870"/>
      <c r="C86" s="66" t="s">
        <v>306</v>
      </c>
      <c r="D86" s="774" t="s">
        <v>921</v>
      </c>
      <c r="E86" s="649" t="str">
        <f>" - " &amp; 'Giá Máy'!E11</f>
        <v xml:space="preserve"> - Máy đào 0,4m3</v>
      </c>
      <c r="F86" s="870" t="str">
        <f>'Giá Máy'!F11</f>
        <v>ca</v>
      </c>
      <c r="G86" s="725">
        <f>PTVT!G38</f>
        <v>2</v>
      </c>
      <c r="H86" s="484">
        <f>'Giá Máy'!O11</f>
        <v>2800000</v>
      </c>
      <c r="I86" s="441">
        <f>'Tiên lượng'!X15</f>
        <v>1</v>
      </c>
      <c r="J86" s="484">
        <f>PRODUCT(G86,H86,I86)</f>
        <v>5600000</v>
      </c>
      <c r="K86" s="874"/>
      <c r="L86" s="874"/>
      <c r="M86" s="874"/>
      <c r="N86" s="874"/>
      <c r="O86" s="874"/>
      <c r="P86" s="874"/>
      <c r="Q86" s="874"/>
      <c r="R86" s="874"/>
      <c r="S86" s="874"/>
      <c r="T86" s="874"/>
      <c r="U86" s="874"/>
      <c r="V86" s="874"/>
      <c r="W86" s="874"/>
      <c r="X86" s="874"/>
      <c r="Y86" s="874"/>
      <c r="Z86" s="874"/>
      <c r="AA86" s="874"/>
    </row>
    <row r="87" spans="1:27" x14ac:dyDescent="0.25">
      <c r="A87" s="813"/>
      <c r="B87" s="870"/>
      <c r="C87" s="66" t="s">
        <v>306</v>
      </c>
      <c r="D87" s="774" t="s">
        <v>306</v>
      </c>
      <c r="E87" s="649" t="s">
        <v>1211</v>
      </c>
      <c r="F87" s="870" t="s">
        <v>969</v>
      </c>
      <c r="G87" s="735"/>
      <c r="H87" s="484"/>
      <c r="I87" s="441"/>
      <c r="J87" s="484">
        <f>J82+J83+J85</f>
        <v>6551050.8799999999</v>
      </c>
      <c r="K87" s="874"/>
      <c r="L87" s="874"/>
      <c r="M87" s="874"/>
      <c r="N87" s="874"/>
      <c r="O87" s="874"/>
      <c r="P87" s="874"/>
      <c r="Q87" s="874"/>
      <c r="R87" s="874"/>
      <c r="S87" s="874"/>
      <c r="T87" s="874"/>
      <c r="U87" s="874"/>
      <c r="V87" s="874"/>
      <c r="W87" s="874"/>
      <c r="X87" s="874"/>
      <c r="Y87" s="874"/>
      <c r="Z87" s="874"/>
      <c r="AA87" s="874"/>
    </row>
    <row r="88" spans="1:27" x14ac:dyDescent="0.25">
      <c r="A88" s="813"/>
      <c r="B88" s="870"/>
      <c r="C88" s="66" t="s">
        <v>306</v>
      </c>
      <c r="D88" s="774" t="s">
        <v>306</v>
      </c>
      <c r="E88" s="649" t="s">
        <v>581</v>
      </c>
      <c r="F88" s="870" t="s">
        <v>892</v>
      </c>
      <c r="G88" s="694">
        <f>'Hệ số'!D5</f>
        <v>6.2E-2</v>
      </c>
      <c r="H88" s="484"/>
      <c r="I88" s="441"/>
      <c r="J88" s="484">
        <f>(J87)*G88</f>
        <v>406165.15456</v>
      </c>
      <c r="K88" s="874"/>
      <c r="L88" s="874"/>
      <c r="M88" s="874"/>
      <c r="N88" s="874"/>
      <c r="O88" s="874"/>
      <c r="P88" s="874"/>
      <c r="Q88" s="874"/>
      <c r="R88" s="874"/>
      <c r="S88" s="874"/>
      <c r="T88" s="874"/>
      <c r="U88" s="874"/>
      <c r="V88" s="874"/>
      <c r="W88" s="874"/>
      <c r="X88" s="874"/>
      <c r="Y88" s="874"/>
      <c r="Z88" s="874"/>
      <c r="AA88" s="874"/>
    </row>
    <row r="89" spans="1:27" x14ac:dyDescent="0.25">
      <c r="A89" s="813"/>
      <c r="B89" s="870"/>
      <c r="C89" s="66" t="s">
        <v>306</v>
      </c>
      <c r="D89" s="774" t="s">
        <v>306</v>
      </c>
      <c r="E89" s="649" t="s">
        <v>634</v>
      </c>
      <c r="F89" s="870" t="s">
        <v>997</v>
      </c>
      <c r="G89" s="694">
        <f>'Hệ số'!D11</f>
        <v>1.1000000000000001E-2</v>
      </c>
      <c r="H89" s="484"/>
      <c r="I89" s="441"/>
      <c r="J89" s="484">
        <f>(J87)*G89</f>
        <v>72061.559680000006</v>
      </c>
      <c r="K89" s="874"/>
      <c r="L89" s="874"/>
      <c r="M89" s="874"/>
      <c r="N89" s="874"/>
      <c r="O89" s="874"/>
      <c r="P89" s="874"/>
      <c r="Q89" s="874"/>
      <c r="R89" s="874"/>
      <c r="S89" s="874"/>
      <c r="T89" s="874"/>
      <c r="U89" s="874"/>
      <c r="V89" s="874"/>
      <c r="W89" s="874"/>
      <c r="X89" s="874"/>
      <c r="Y89" s="874"/>
      <c r="Z89" s="874"/>
      <c r="AA89" s="874"/>
    </row>
    <row r="90" spans="1:27" ht="30" x14ac:dyDescent="0.25">
      <c r="A90" s="813"/>
      <c r="B90" s="870"/>
      <c r="C90" s="66" t="s">
        <v>306</v>
      </c>
      <c r="D90" s="774" t="s">
        <v>306</v>
      </c>
      <c r="E90" s="649" t="s">
        <v>51</v>
      </c>
      <c r="F90" s="870" t="s">
        <v>172</v>
      </c>
      <c r="G90" s="319">
        <f>'Hệ số'!D8</f>
        <v>0.02</v>
      </c>
      <c r="H90" s="484"/>
      <c r="I90" s="441"/>
      <c r="J90" s="484">
        <f>(J87)*G90</f>
        <v>131021.01760000001</v>
      </c>
      <c r="K90" s="874"/>
      <c r="L90" s="874"/>
      <c r="M90" s="874"/>
      <c r="N90" s="874"/>
      <c r="O90" s="874"/>
      <c r="P90" s="874"/>
      <c r="Q90" s="874"/>
      <c r="R90" s="874"/>
      <c r="S90" s="874"/>
      <c r="T90" s="874"/>
      <c r="U90" s="874"/>
      <c r="V90" s="874"/>
      <c r="W90" s="874"/>
      <c r="X90" s="874"/>
      <c r="Y90" s="874"/>
      <c r="Z90" s="874"/>
      <c r="AA90" s="874"/>
    </row>
    <row r="91" spans="1:27" x14ac:dyDescent="0.25">
      <c r="A91" s="813"/>
      <c r="B91" s="870"/>
      <c r="C91" s="66" t="s">
        <v>306</v>
      </c>
      <c r="D91" s="774" t="s">
        <v>306</v>
      </c>
      <c r="E91" s="649" t="s">
        <v>4</v>
      </c>
      <c r="F91" s="870" t="s">
        <v>1074</v>
      </c>
      <c r="G91" s="735"/>
      <c r="H91" s="484"/>
      <c r="I91" s="441"/>
      <c r="J91" s="484">
        <f>J88+J89+J90</f>
        <v>609247.73184000002</v>
      </c>
      <c r="K91" s="874"/>
      <c r="L91" s="874"/>
      <c r="M91" s="874"/>
      <c r="N91" s="874"/>
      <c r="O91" s="874"/>
      <c r="P91" s="874"/>
      <c r="Q91" s="874"/>
      <c r="R91" s="874"/>
      <c r="S91" s="874"/>
      <c r="T91" s="874"/>
      <c r="U91" s="874"/>
      <c r="V91" s="874"/>
      <c r="W91" s="874"/>
      <c r="X91" s="874"/>
      <c r="Y91" s="874"/>
      <c r="Z91" s="874"/>
      <c r="AA91" s="874"/>
    </row>
    <row r="92" spans="1:27" ht="30" x14ac:dyDescent="0.25">
      <c r="A92" s="813"/>
      <c r="B92" s="870"/>
      <c r="C92" s="66" t="s">
        <v>306</v>
      </c>
      <c r="D92" s="774" t="s">
        <v>306</v>
      </c>
      <c r="E92" s="649" t="s">
        <v>926</v>
      </c>
      <c r="F92" s="870" t="s">
        <v>877</v>
      </c>
      <c r="G92" s="319">
        <f>'Hệ số'!D15</f>
        <v>0.06</v>
      </c>
      <c r="H92" s="484"/>
      <c r="I92" s="441"/>
      <c r="J92" s="484">
        <f>(J87+J91)*G92</f>
        <v>429617.91671040002</v>
      </c>
      <c r="K92" s="874"/>
      <c r="L92" s="874"/>
      <c r="M92" s="874"/>
      <c r="N92" s="874"/>
      <c r="O92" s="874"/>
      <c r="P92" s="874"/>
      <c r="Q92" s="874"/>
      <c r="R92" s="874"/>
      <c r="S92" s="874"/>
      <c r="T92" s="874"/>
      <c r="U92" s="874"/>
      <c r="V92" s="874"/>
      <c r="W92" s="874"/>
      <c r="X92" s="874"/>
      <c r="Y92" s="874"/>
      <c r="Z92" s="874"/>
      <c r="AA92" s="874"/>
    </row>
    <row r="93" spans="1:27" x14ac:dyDescent="0.25">
      <c r="A93" s="813"/>
      <c r="B93" s="870"/>
      <c r="C93" s="66" t="s">
        <v>306</v>
      </c>
      <c r="D93" s="774" t="s">
        <v>306</v>
      </c>
      <c r="E93" s="421" t="s">
        <v>699</v>
      </c>
      <c r="F93" s="143" t="s">
        <v>516</v>
      </c>
      <c r="G93" s="735"/>
      <c r="H93" s="484"/>
      <c r="I93" s="441"/>
      <c r="J93" s="270">
        <f>J87+J91+J92</f>
        <v>7589916.5285504004</v>
      </c>
      <c r="K93" s="874"/>
      <c r="L93" s="874"/>
      <c r="M93" s="874"/>
      <c r="N93" s="874"/>
      <c r="O93" s="874"/>
      <c r="P93" s="874"/>
      <c r="Q93" s="874"/>
      <c r="R93" s="874"/>
      <c r="S93" s="874"/>
      <c r="T93" s="874"/>
      <c r="U93" s="874"/>
      <c r="V93" s="874"/>
      <c r="W93" s="874"/>
      <c r="X93" s="874"/>
      <c r="Y93" s="874"/>
      <c r="Z93" s="874"/>
      <c r="AA93" s="874"/>
    </row>
    <row r="94" spans="1:27" x14ac:dyDescent="0.25">
      <c r="A94" s="813"/>
      <c r="B94" s="870"/>
      <c r="C94" s="66" t="s">
        <v>306</v>
      </c>
      <c r="D94" s="774" t="s">
        <v>306</v>
      </c>
      <c r="E94" s="649" t="s">
        <v>1117</v>
      </c>
      <c r="F94" s="870" t="s">
        <v>447</v>
      </c>
      <c r="G94" s="319">
        <f>'Hệ số'!D17</f>
        <v>0.08</v>
      </c>
      <c r="H94" s="484"/>
      <c r="I94" s="441"/>
      <c r="J94" s="484">
        <f>(J93)*G94</f>
        <v>607193.32228403201</v>
      </c>
      <c r="K94" s="874"/>
      <c r="L94" s="874"/>
      <c r="M94" s="874"/>
      <c r="N94" s="874"/>
      <c r="O94" s="874"/>
      <c r="P94" s="874"/>
      <c r="Q94" s="874"/>
      <c r="R94" s="874"/>
      <c r="S94" s="874"/>
      <c r="T94" s="874"/>
      <c r="U94" s="874"/>
      <c r="V94" s="874"/>
      <c r="W94" s="874"/>
      <c r="X94" s="874"/>
      <c r="Y94" s="874"/>
      <c r="Z94" s="874"/>
      <c r="AA94" s="874"/>
    </row>
    <row r="95" spans="1:27" x14ac:dyDescent="0.25">
      <c r="A95" s="468"/>
      <c r="B95" s="534"/>
      <c r="C95" s="638" t="s">
        <v>306</v>
      </c>
      <c r="D95" s="420" t="s">
        <v>306</v>
      </c>
      <c r="E95" s="438" t="s">
        <v>1316</v>
      </c>
      <c r="F95" s="698" t="s">
        <v>927</v>
      </c>
      <c r="G95" s="750"/>
      <c r="H95" s="128"/>
      <c r="I95" s="462"/>
      <c r="J95" s="880">
        <f>J93+J94</f>
        <v>8197109.8508344321</v>
      </c>
      <c r="K95" s="874"/>
      <c r="L95" s="874"/>
      <c r="M95" s="874"/>
      <c r="N95" s="874"/>
      <c r="O95" s="874"/>
      <c r="P95" s="874"/>
      <c r="Q95" s="874"/>
      <c r="R95" s="874"/>
      <c r="S95" s="874"/>
      <c r="T95" s="874"/>
      <c r="U95" s="874"/>
      <c r="V95" s="874"/>
      <c r="W95" s="874"/>
      <c r="X95" s="874"/>
      <c r="Y95" s="874"/>
      <c r="Z95" s="874"/>
      <c r="AA95" s="874"/>
    </row>
    <row r="96" spans="1:27" ht="30" x14ac:dyDescent="0.25">
      <c r="A96" s="895"/>
      <c r="B96" s="58">
        <v>7</v>
      </c>
      <c r="C96" s="137" t="str">
        <f>'Tiên lượng'!C17</f>
        <v>AB.41123.VD</v>
      </c>
      <c r="D96" s="137" t="str">
        <f>'Tiên lượng'!C17</f>
        <v>AB.41123.VD</v>
      </c>
      <c r="E96" s="693" t="str">
        <f>'Tiên lượng'!D17</f>
        <v>Vận chuyển đất bằng ô tô tự đổ 7T, phạm vi ≤300m - Cấp đất III</v>
      </c>
      <c r="F96" s="58" t="str">
        <f>'Tiên lượng'!E17</f>
        <v>ca</v>
      </c>
      <c r="G96" s="254"/>
      <c r="H96" s="194"/>
      <c r="I96" s="527"/>
      <c r="J96" s="194"/>
      <c r="K96" s="874"/>
      <c r="L96" s="874"/>
      <c r="M96" s="874"/>
      <c r="N96" s="874"/>
      <c r="O96" s="874"/>
      <c r="P96" s="874"/>
      <c r="Q96" s="874"/>
      <c r="R96" s="874"/>
      <c r="S96" s="874"/>
      <c r="T96" s="874"/>
      <c r="U96" s="874"/>
      <c r="V96" s="874"/>
      <c r="W96" s="874"/>
      <c r="X96" s="874"/>
      <c r="Y96" s="874"/>
      <c r="Z96" s="874"/>
      <c r="AA96" s="874"/>
    </row>
    <row r="97" spans="1:27" x14ac:dyDescent="0.25">
      <c r="A97" s="129"/>
      <c r="B97" s="198"/>
      <c r="C97" s="810" t="s">
        <v>306</v>
      </c>
      <c r="D97" s="810" t="s">
        <v>306</v>
      </c>
      <c r="E97" s="473" t="s">
        <v>1372</v>
      </c>
      <c r="F97" s="198" t="s">
        <v>479</v>
      </c>
      <c r="G97" s="32"/>
      <c r="H97" s="333"/>
      <c r="I97" s="671"/>
      <c r="J97" s="333">
        <v>0</v>
      </c>
      <c r="K97" s="874"/>
      <c r="L97" s="874"/>
      <c r="M97" s="874"/>
      <c r="N97" s="874"/>
      <c r="O97" s="874"/>
      <c r="P97" s="874"/>
      <c r="Q97" s="874"/>
      <c r="R97" s="874"/>
      <c r="S97" s="874"/>
      <c r="T97" s="874"/>
      <c r="U97" s="874"/>
      <c r="V97" s="874"/>
      <c r="W97" s="874"/>
      <c r="X97" s="874"/>
      <c r="Y97" s="874"/>
      <c r="Z97" s="874"/>
      <c r="AA97" s="874"/>
    </row>
    <row r="98" spans="1:27" x14ac:dyDescent="0.25">
      <c r="A98" s="129"/>
      <c r="B98" s="198"/>
      <c r="C98" s="810" t="s">
        <v>306</v>
      </c>
      <c r="D98" s="810" t="s">
        <v>306</v>
      </c>
      <c r="E98" s="473" t="s">
        <v>890</v>
      </c>
      <c r="F98" s="198" t="s">
        <v>125</v>
      </c>
      <c r="G98" s="32"/>
      <c r="H98" s="333"/>
      <c r="I98" s="671"/>
      <c r="J98" s="333">
        <v>0</v>
      </c>
      <c r="K98" s="874"/>
      <c r="L98" s="874"/>
      <c r="M98" s="874"/>
      <c r="N98" s="874"/>
      <c r="O98" s="874"/>
      <c r="P98" s="874"/>
      <c r="Q98" s="874"/>
      <c r="R98" s="874"/>
      <c r="S98" s="874"/>
      <c r="T98" s="874"/>
      <c r="U98" s="874"/>
      <c r="V98" s="874"/>
      <c r="W98" s="874"/>
      <c r="X98" s="874"/>
      <c r="Y98" s="874"/>
      <c r="Z98" s="874"/>
      <c r="AA98" s="874"/>
    </row>
    <row r="99" spans="1:27" x14ac:dyDescent="0.25">
      <c r="A99" s="129"/>
      <c r="B99" s="198"/>
      <c r="C99" s="810" t="s">
        <v>306</v>
      </c>
      <c r="D99" s="810" t="s">
        <v>306</v>
      </c>
      <c r="E99" s="473" t="s">
        <v>556</v>
      </c>
      <c r="F99" s="198" t="s">
        <v>539</v>
      </c>
      <c r="G99" s="32"/>
      <c r="H99" s="333"/>
      <c r="I99" s="671"/>
      <c r="J99" s="333">
        <f>SUM(J100:J100)</f>
        <v>2000000</v>
      </c>
      <c r="K99" s="874"/>
      <c r="L99" s="874"/>
      <c r="M99" s="874"/>
      <c r="N99" s="874"/>
      <c r="O99" s="874"/>
      <c r="P99" s="874"/>
      <c r="Q99" s="874"/>
      <c r="R99" s="874"/>
      <c r="S99" s="874"/>
      <c r="T99" s="874"/>
      <c r="U99" s="874"/>
      <c r="V99" s="874"/>
      <c r="W99" s="874"/>
      <c r="X99" s="874"/>
      <c r="Y99" s="874"/>
      <c r="Z99" s="874"/>
      <c r="AA99" s="874"/>
    </row>
    <row r="100" spans="1:27" x14ac:dyDescent="0.25">
      <c r="A100" s="813"/>
      <c r="B100" s="870"/>
      <c r="C100" s="66" t="s">
        <v>306</v>
      </c>
      <c r="D100" s="774" t="s">
        <v>691</v>
      </c>
      <c r="E100" s="649" t="str">
        <f>" - " &amp; 'Giá Máy'!E18</f>
        <v xml:space="preserve"> - Ô tô tự đổ 7T</v>
      </c>
      <c r="F100" s="870" t="str">
        <f>'Giá Máy'!F18</f>
        <v>ca</v>
      </c>
      <c r="G100" s="725">
        <f>PTVT!G41</f>
        <v>1</v>
      </c>
      <c r="H100" s="484">
        <f>'Giá Máy'!O18</f>
        <v>2000000</v>
      </c>
      <c r="I100" s="441">
        <f>'Tiên lượng'!X17</f>
        <v>1</v>
      </c>
      <c r="J100" s="484">
        <f>PRODUCT(G100,H100,I100)</f>
        <v>2000000</v>
      </c>
      <c r="K100" s="874"/>
      <c r="L100" s="874"/>
      <c r="M100" s="874"/>
      <c r="N100" s="874"/>
      <c r="O100" s="874"/>
      <c r="P100" s="874"/>
      <c r="Q100" s="874"/>
      <c r="R100" s="874"/>
      <c r="S100" s="874"/>
      <c r="T100" s="874"/>
      <c r="U100" s="874"/>
      <c r="V100" s="874"/>
      <c r="W100" s="874"/>
      <c r="X100" s="874"/>
      <c r="Y100" s="874"/>
      <c r="Z100" s="874"/>
      <c r="AA100" s="874"/>
    </row>
    <row r="101" spans="1:27" x14ac:dyDescent="0.25">
      <c r="A101" s="813"/>
      <c r="B101" s="870"/>
      <c r="C101" s="66" t="s">
        <v>306</v>
      </c>
      <c r="D101" s="774" t="s">
        <v>306</v>
      </c>
      <c r="E101" s="649" t="s">
        <v>1211</v>
      </c>
      <c r="F101" s="870" t="s">
        <v>969</v>
      </c>
      <c r="G101" s="735"/>
      <c r="H101" s="484"/>
      <c r="I101" s="441"/>
      <c r="J101" s="484">
        <f>J97+J98+J99</f>
        <v>2000000</v>
      </c>
      <c r="K101" s="874"/>
      <c r="L101" s="874"/>
      <c r="M101" s="874"/>
      <c r="N101" s="874"/>
      <c r="O101" s="874"/>
      <c r="P101" s="874"/>
      <c r="Q101" s="874"/>
      <c r="R101" s="874"/>
      <c r="S101" s="874"/>
      <c r="T101" s="874"/>
      <c r="U101" s="874"/>
      <c r="V101" s="874"/>
      <c r="W101" s="874"/>
      <c r="X101" s="874"/>
      <c r="Y101" s="874"/>
      <c r="Z101" s="874"/>
      <c r="AA101" s="874"/>
    </row>
    <row r="102" spans="1:27" x14ac:dyDescent="0.25">
      <c r="A102" s="813"/>
      <c r="B102" s="870"/>
      <c r="C102" s="66" t="s">
        <v>306</v>
      </c>
      <c r="D102" s="774" t="s">
        <v>306</v>
      </c>
      <c r="E102" s="649" t="s">
        <v>581</v>
      </c>
      <c r="F102" s="870" t="s">
        <v>892</v>
      </c>
      <c r="G102" s="694">
        <f>'Hệ số'!D5</f>
        <v>6.2E-2</v>
      </c>
      <c r="H102" s="484"/>
      <c r="I102" s="441"/>
      <c r="J102" s="484">
        <f>(J101)*G102</f>
        <v>124000</v>
      </c>
      <c r="K102" s="874"/>
      <c r="L102" s="874"/>
      <c r="M102" s="874"/>
      <c r="N102" s="874"/>
      <c r="O102" s="874"/>
      <c r="P102" s="874"/>
      <c r="Q102" s="874"/>
      <c r="R102" s="874"/>
      <c r="S102" s="874"/>
      <c r="T102" s="874"/>
      <c r="U102" s="874"/>
      <c r="V102" s="874"/>
      <c r="W102" s="874"/>
      <c r="X102" s="874"/>
      <c r="Y102" s="874"/>
      <c r="Z102" s="874"/>
      <c r="AA102" s="874"/>
    </row>
    <row r="103" spans="1:27" x14ac:dyDescent="0.25">
      <c r="A103" s="813"/>
      <c r="B103" s="870"/>
      <c r="C103" s="66" t="s">
        <v>306</v>
      </c>
      <c r="D103" s="774" t="s">
        <v>306</v>
      </c>
      <c r="E103" s="649" t="s">
        <v>634</v>
      </c>
      <c r="F103" s="870" t="s">
        <v>997</v>
      </c>
      <c r="G103" s="694">
        <f>'Hệ số'!D11</f>
        <v>1.1000000000000001E-2</v>
      </c>
      <c r="H103" s="484"/>
      <c r="I103" s="441"/>
      <c r="J103" s="484">
        <f>(J101)*G103</f>
        <v>22000.000000000004</v>
      </c>
      <c r="K103" s="874"/>
      <c r="L103" s="874"/>
      <c r="M103" s="874"/>
      <c r="N103" s="874"/>
      <c r="O103" s="874"/>
      <c r="P103" s="874"/>
      <c r="Q103" s="874"/>
      <c r="R103" s="874"/>
      <c r="S103" s="874"/>
      <c r="T103" s="874"/>
      <c r="U103" s="874"/>
      <c r="V103" s="874"/>
      <c r="W103" s="874"/>
      <c r="X103" s="874"/>
      <c r="Y103" s="874"/>
      <c r="Z103" s="874"/>
      <c r="AA103" s="874"/>
    </row>
    <row r="104" spans="1:27" ht="30" x14ac:dyDescent="0.25">
      <c r="A104" s="813"/>
      <c r="B104" s="870"/>
      <c r="C104" s="66" t="s">
        <v>306</v>
      </c>
      <c r="D104" s="774" t="s">
        <v>306</v>
      </c>
      <c r="E104" s="649" t="s">
        <v>51</v>
      </c>
      <c r="F104" s="870" t="s">
        <v>172</v>
      </c>
      <c r="G104" s="319">
        <f>'Hệ số'!D8</f>
        <v>0.02</v>
      </c>
      <c r="H104" s="484"/>
      <c r="I104" s="441"/>
      <c r="J104" s="484">
        <f>(J101)*G104</f>
        <v>40000</v>
      </c>
      <c r="K104" s="874"/>
      <c r="L104" s="874"/>
      <c r="M104" s="874"/>
      <c r="N104" s="874"/>
      <c r="O104" s="874"/>
      <c r="P104" s="874"/>
      <c r="Q104" s="874"/>
      <c r="R104" s="874"/>
      <c r="S104" s="874"/>
      <c r="T104" s="874"/>
      <c r="U104" s="874"/>
      <c r="V104" s="874"/>
      <c r="W104" s="874"/>
      <c r="X104" s="874"/>
      <c r="Y104" s="874"/>
      <c r="Z104" s="874"/>
      <c r="AA104" s="874"/>
    </row>
    <row r="105" spans="1:27" x14ac:dyDescent="0.25">
      <c r="A105" s="813"/>
      <c r="B105" s="870"/>
      <c r="C105" s="66" t="s">
        <v>306</v>
      </c>
      <c r="D105" s="774" t="s">
        <v>306</v>
      </c>
      <c r="E105" s="649" t="s">
        <v>4</v>
      </c>
      <c r="F105" s="870" t="s">
        <v>1074</v>
      </c>
      <c r="G105" s="735"/>
      <c r="H105" s="484"/>
      <c r="I105" s="441"/>
      <c r="J105" s="484">
        <f>J102+J103+J104</f>
        <v>186000</v>
      </c>
      <c r="K105" s="874"/>
      <c r="L105" s="874"/>
      <c r="M105" s="874"/>
      <c r="N105" s="874"/>
      <c r="O105" s="874"/>
      <c r="P105" s="874"/>
      <c r="Q105" s="874"/>
      <c r="R105" s="874"/>
      <c r="S105" s="874"/>
      <c r="T105" s="874"/>
      <c r="U105" s="874"/>
      <c r="V105" s="874"/>
      <c r="W105" s="874"/>
      <c r="X105" s="874"/>
      <c r="Y105" s="874"/>
      <c r="Z105" s="874"/>
      <c r="AA105" s="874"/>
    </row>
    <row r="106" spans="1:27" ht="30" x14ac:dyDescent="0.25">
      <c r="A106" s="813"/>
      <c r="B106" s="870"/>
      <c r="C106" s="66" t="s">
        <v>306</v>
      </c>
      <c r="D106" s="774" t="s">
        <v>306</v>
      </c>
      <c r="E106" s="649" t="s">
        <v>926</v>
      </c>
      <c r="F106" s="870" t="s">
        <v>877</v>
      </c>
      <c r="G106" s="319">
        <f>'Hệ số'!D15</f>
        <v>0.06</v>
      </c>
      <c r="H106" s="484"/>
      <c r="I106" s="441"/>
      <c r="J106" s="484">
        <f>(J101+J105)*G106</f>
        <v>131160</v>
      </c>
      <c r="K106" s="874"/>
      <c r="L106" s="874"/>
      <c r="M106" s="874"/>
      <c r="N106" s="874"/>
      <c r="O106" s="874"/>
      <c r="P106" s="874"/>
      <c r="Q106" s="874"/>
      <c r="R106" s="874"/>
      <c r="S106" s="874"/>
      <c r="T106" s="874"/>
      <c r="U106" s="874"/>
      <c r="V106" s="874"/>
      <c r="W106" s="874"/>
      <c r="X106" s="874"/>
      <c r="Y106" s="874"/>
      <c r="Z106" s="874"/>
      <c r="AA106" s="874"/>
    </row>
    <row r="107" spans="1:27" x14ac:dyDescent="0.25">
      <c r="A107" s="813"/>
      <c r="B107" s="870"/>
      <c r="C107" s="66" t="s">
        <v>306</v>
      </c>
      <c r="D107" s="774" t="s">
        <v>306</v>
      </c>
      <c r="E107" s="421" t="s">
        <v>699</v>
      </c>
      <c r="F107" s="143" t="s">
        <v>516</v>
      </c>
      <c r="G107" s="735"/>
      <c r="H107" s="484"/>
      <c r="I107" s="441"/>
      <c r="J107" s="270">
        <f>J101+J105+J106</f>
        <v>2317160</v>
      </c>
      <c r="K107" s="874"/>
      <c r="L107" s="874"/>
      <c r="M107" s="874"/>
      <c r="N107" s="874"/>
      <c r="O107" s="874"/>
      <c r="P107" s="874"/>
      <c r="Q107" s="874"/>
      <c r="R107" s="874"/>
      <c r="S107" s="874"/>
      <c r="T107" s="874"/>
      <c r="U107" s="874"/>
      <c r="V107" s="874"/>
      <c r="W107" s="874"/>
      <c r="X107" s="874"/>
      <c r="Y107" s="874"/>
      <c r="Z107" s="874"/>
      <c r="AA107" s="874"/>
    </row>
    <row r="108" spans="1:27" x14ac:dyDescent="0.25">
      <c r="A108" s="813"/>
      <c r="B108" s="870"/>
      <c r="C108" s="66" t="s">
        <v>306</v>
      </c>
      <c r="D108" s="774" t="s">
        <v>306</v>
      </c>
      <c r="E108" s="649" t="s">
        <v>1117</v>
      </c>
      <c r="F108" s="870" t="s">
        <v>447</v>
      </c>
      <c r="G108" s="319">
        <f>'Hệ số'!D17</f>
        <v>0.08</v>
      </c>
      <c r="H108" s="484"/>
      <c r="I108" s="441"/>
      <c r="J108" s="484">
        <f>(J107)*G108</f>
        <v>185372.80000000002</v>
      </c>
      <c r="K108" s="874"/>
      <c r="L108" s="874"/>
      <c r="M108" s="874"/>
      <c r="N108" s="874"/>
      <c r="O108" s="874"/>
      <c r="P108" s="874"/>
      <c r="Q108" s="874"/>
      <c r="R108" s="874"/>
      <c r="S108" s="874"/>
      <c r="T108" s="874"/>
      <c r="U108" s="874"/>
      <c r="V108" s="874"/>
      <c r="W108" s="874"/>
      <c r="X108" s="874"/>
      <c r="Y108" s="874"/>
      <c r="Z108" s="874"/>
      <c r="AA108" s="874"/>
    </row>
    <row r="109" spans="1:27" x14ac:dyDescent="0.25">
      <c r="A109" s="468"/>
      <c r="B109" s="534"/>
      <c r="C109" s="638" t="s">
        <v>306</v>
      </c>
      <c r="D109" s="420" t="s">
        <v>306</v>
      </c>
      <c r="E109" s="438" t="s">
        <v>1316</v>
      </c>
      <c r="F109" s="698" t="s">
        <v>927</v>
      </c>
      <c r="G109" s="750"/>
      <c r="H109" s="128"/>
      <c r="I109" s="462"/>
      <c r="J109" s="880">
        <f>J107+J108</f>
        <v>2502532.7999999998</v>
      </c>
      <c r="K109" s="874"/>
      <c r="L109" s="874"/>
      <c r="M109" s="874"/>
      <c r="N109" s="874"/>
      <c r="O109" s="874"/>
      <c r="P109" s="874"/>
      <c r="Q109" s="874"/>
      <c r="R109" s="874"/>
      <c r="S109" s="874"/>
      <c r="T109" s="874"/>
      <c r="U109" s="874"/>
      <c r="V109" s="874"/>
      <c r="W109" s="874"/>
      <c r="X109" s="874"/>
      <c r="Y109" s="874"/>
      <c r="Z109" s="874"/>
      <c r="AA109" s="874"/>
    </row>
    <row r="110" spans="1:27" ht="30" x14ac:dyDescent="0.25">
      <c r="A110" s="895"/>
      <c r="B110" s="58">
        <v>8</v>
      </c>
      <c r="C110" s="137" t="str">
        <f>'Tiên lượng'!C18</f>
        <v>AD.11212.VD</v>
      </c>
      <c r="D110" s="137" t="str">
        <f>'Tiên lượng'!C18</f>
        <v>AD.11212.VD</v>
      </c>
      <c r="E110" s="693" t="str">
        <f>'Tiên lượng'!D18</f>
        <v>Bù vênh mặt đường bằng Đá dăm cấp phối loại II (Subbase)</v>
      </c>
      <c r="F110" s="58" t="str">
        <f>'Tiên lượng'!E18</f>
        <v>100m3</v>
      </c>
      <c r="G110" s="254"/>
      <c r="H110" s="194"/>
      <c r="I110" s="527"/>
      <c r="J110" s="194"/>
      <c r="K110" s="874"/>
      <c r="L110" s="874"/>
      <c r="M110" s="874"/>
      <c r="N110" s="874"/>
      <c r="O110" s="874"/>
      <c r="P110" s="874"/>
      <c r="Q110" s="874"/>
      <c r="R110" s="874"/>
      <c r="S110" s="874"/>
      <c r="T110" s="874"/>
      <c r="U110" s="874"/>
      <c r="V110" s="874"/>
      <c r="W110" s="874"/>
      <c r="X110" s="874"/>
      <c r="Y110" s="874"/>
      <c r="Z110" s="874"/>
      <c r="AA110" s="874"/>
    </row>
    <row r="111" spans="1:27" x14ac:dyDescent="0.25">
      <c r="A111" s="129"/>
      <c r="B111" s="198"/>
      <c r="C111" s="810" t="s">
        <v>306</v>
      </c>
      <c r="D111" s="810" t="s">
        <v>306</v>
      </c>
      <c r="E111" s="473" t="s">
        <v>1372</v>
      </c>
      <c r="F111" s="198" t="s">
        <v>479</v>
      </c>
      <c r="G111" s="32"/>
      <c r="H111" s="333"/>
      <c r="I111" s="671"/>
      <c r="J111" s="333">
        <f>SUM(J112:J112)</f>
        <v>53127806.215591997</v>
      </c>
      <c r="K111" s="874"/>
      <c r="L111" s="874"/>
      <c r="M111" s="874"/>
      <c r="N111" s="874"/>
      <c r="O111" s="874"/>
      <c r="P111" s="874"/>
      <c r="Q111" s="874"/>
      <c r="R111" s="874"/>
      <c r="S111" s="874"/>
      <c r="T111" s="874"/>
      <c r="U111" s="874"/>
      <c r="V111" s="874"/>
      <c r="W111" s="874"/>
      <c r="X111" s="874"/>
      <c r="Y111" s="874"/>
      <c r="Z111" s="874"/>
      <c r="AA111" s="874"/>
    </row>
    <row r="112" spans="1:27" x14ac:dyDescent="0.25">
      <c r="A112" s="813"/>
      <c r="B112" s="870"/>
      <c r="C112" s="66" t="s">
        <v>306</v>
      </c>
      <c r="D112" s="774" t="s">
        <v>1290</v>
      </c>
      <c r="E112" s="649" t="str">
        <f>" - " &amp; 'Giá VL'!E6</f>
        <v xml:space="preserve"> - Đá Base B</v>
      </c>
      <c r="F112" s="870" t="str">
        <f>'Giá VL'!F6</f>
        <v>m3</v>
      </c>
      <c r="G112" s="725">
        <f>PTVT!G44</f>
        <v>134</v>
      </c>
      <c r="H112" s="484">
        <f>'Giá VL'!V6</f>
        <v>396476.16578799998</v>
      </c>
      <c r="I112" s="441">
        <f>'Tiên lượng'!V18</f>
        <v>1</v>
      </c>
      <c r="J112" s="484">
        <f>PRODUCT(G112,H112,I112)</f>
        <v>53127806.215591997</v>
      </c>
      <c r="K112" s="874"/>
      <c r="L112" s="874"/>
      <c r="M112" s="874"/>
      <c r="N112" s="874"/>
      <c r="O112" s="874"/>
      <c r="P112" s="874"/>
      <c r="Q112" s="874"/>
      <c r="R112" s="874"/>
      <c r="S112" s="874"/>
      <c r="T112" s="874"/>
      <c r="U112" s="874"/>
      <c r="V112" s="874"/>
      <c r="W112" s="874"/>
      <c r="X112" s="874"/>
      <c r="Y112" s="874"/>
      <c r="Z112" s="874"/>
      <c r="AA112" s="874"/>
    </row>
    <row r="113" spans="1:27" x14ac:dyDescent="0.25">
      <c r="A113" s="129"/>
      <c r="B113" s="198"/>
      <c r="C113" s="810" t="s">
        <v>306</v>
      </c>
      <c r="D113" s="810" t="s">
        <v>306</v>
      </c>
      <c r="E113" s="473" t="s">
        <v>890</v>
      </c>
      <c r="F113" s="198" t="s">
        <v>125</v>
      </c>
      <c r="G113" s="32"/>
      <c r="H113" s="333"/>
      <c r="I113" s="671"/>
      <c r="J113" s="333">
        <f>SUM(J114:J114)</f>
        <v>1481448</v>
      </c>
      <c r="K113" s="874"/>
      <c r="L113" s="874"/>
      <c r="M113" s="874"/>
      <c r="N113" s="874"/>
      <c r="O113" s="874"/>
      <c r="P113" s="874"/>
      <c r="Q113" s="874"/>
      <c r="R113" s="874"/>
      <c r="S113" s="874"/>
      <c r="T113" s="874"/>
      <c r="U113" s="874"/>
      <c r="V113" s="874"/>
      <c r="W113" s="874"/>
      <c r="X113" s="874"/>
      <c r="Y113" s="874"/>
      <c r="Z113" s="874"/>
      <c r="AA113" s="874"/>
    </row>
    <row r="114" spans="1:27" x14ac:dyDescent="0.25">
      <c r="A114" s="813"/>
      <c r="B114" s="870"/>
      <c r="C114" s="66" t="s">
        <v>306</v>
      </c>
      <c r="D114" s="774" t="s">
        <v>1103</v>
      </c>
      <c r="E114" s="649" t="str">
        <f>" - " &amp; 'Giá NC'!E6</f>
        <v xml:space="preserve"> - Nhân công bậc 3,0/7 - Nhóm 2</v>
      </c>
      <c r="F114" s="870" t="str">
        <f>'Giá NC'!F6</f>
        <v>công</v>
      </c>
      <c r="G114" s="725">
        <f>PTVT!G46</f>
        <v>6</v>
      </c>
      <c r="H114" s="484">
        <f>'Giá NC'!K6</f>
        <v>246908</v>
      </c>
      <c r="I114" s="441">
        <f>'Tiên lượng'!W18</f>
        <v>1</v>
      </c>
      <c r="J114" s="484">
        <f>PRODUCT(G114,H114,I114)</f>
        <v>1481448</v>
      </c>
      <c r="K114" s="874"/>
      <c r="L114" s="874"/>
      <c r="M114" s="874"/>
      <c r="N114" s="874"/>
      <c r="O114" s="874"/>
      <c r="P114" s="874"/>
      <c r="Q114" s="874"/>
      <c r="R114" s="874"/>
      <c r="S114" s="874"/>
      <c r="T114" s="874"/>
      <c r="U114" s="874"/>
      <c r="V114" s="874"/>
      <c r="W114" s="874"/>
      <c r="X114" s="874"/>
      <c r="Y114" s="874"/>
      <c r="Z114" s="874"/>
      <c r="AA114" s="874"/>
    </row>
    <row r="115" spans="1:27" x14ac:dyDescent="0.25">
      <c r="A115" s="129"/>
      <c r="B115" s="198"/>
      <c r="C115" s="810" t="s">
        <v>306</v>
      </c>
      <c r="D115" s="810" t="s">
        <v>306</v>
      </c>
      <c r="E115" s="473" t="s">
        <v>556</v>
      </c>
      <c r="F115" s="198" t="s">
        <v>539</v>
      </c>
      <c r="G115" s="32"/>
      <c r="H115" s="333"/>
      <c r="I115" s="671"/>
      <c r="J115" s="333">
        <f>SUM(J116:J118)</f>
        <v>544003.88699999999</v>
      </c>
      <c r="K115" s="874"/>
      <c r="L115" s="874"/>
      <c r="M115" s="874"/>
      <c r="N115" s="874"/>
      <c r="O115" s="874"/>
      <c r="P115" s="874"/>
      <c r="Q115" s="874"/>
      <c r="R115" s="874"/>
      <c r="S115" s="874"/>
      <c r="T115" s="874"/>
      <c r="U115" s="874"/>
      <c r="V115" s="874"/>
      <c r="W115" s="874"/>
      <c r="X115" s="874"/>
      <c r="Y115" s="874"/>
      <c r="Z115" s="874"/>
      <c r="AA115" s="874"/>
    </row>
    <row r="116" spans="1:27" x14ac:dyDescent="0.25">
      <c r="A116" s="813"/>
      <c r="B116" s="870"/>
      <c r="C116" s="66" t="s">
        <v>306</v>
      </c>
      <c r="D116" s="774" t="s">
        <v>402</v>
      </c>
      <c r="E116" s="649" t="str">
        <f>" - " &amp; 'Giá Máy'!E14</f>
        <v xml:space="preserve"> - Máy lu bánh thép 10T</v>
      </c>
      <c r="F116" s="870" t="str">
        <f>'Giá Máy'!F14</f>
        <v>ca</v>
      </c>
      <c r="G116" s="725">
        <f>PTVT!G48</f>
        <v>0.26</v>
      </c>
      <c r="H116" s="484">
        <f>'Giá Máy'!O14</f>
        <v>1151395</v>
      </c>
      <c r="I116" s="441">
        <f>'Tiên lượng'!X18</f>
        <v>1</v>
      </c>
      <c r="J116" s="484">
        <f t="shared" ref="J116:J118" si="1">PRODUCT(G116,H116,I116)</f>
        <v>299362.7</v>
      </c>
      <c r="K116" s="874"/>
      <c r="L116" s="874"/>
      <c r="M116" s="874"/>
      <c r="N116" s="874"/>
      <c r="O116" s="874"/>
      <c r="P116" s="874"/>
      <c r="Q116" s="874"/>
      <c r="R116" s="874"/>
      <c r="S116" s="874"/>
      <c r="T116" s="874"/>
      <c r="U116" s="874"/>
      <c r="V116" s="874"/>
      <c r="W116" s="874"/>
      <c r="X116" s="874"/>
      <c r="Y116" s="874"/>
      <c r="Z116" s="874"/>
      <c r="AA116" s="874"/>
    </row>
    <row r="117" spans="1:27" x14ac:dyDescent="0.25">
      <c r="A117" s="813"/>
      <c r="B117" s="870"/>
      <c r="C117" s="66" t="s">
        <v>306</v>
      </c>
      <c r="D117" s="774" t="s">
        <v>1073</v>
      </c>
      <c r="E117" s="649" t="str">
        <f>" - " &amp; 'Giá Máy'!E19</f>
        <v xml:space="preserve"> - Ô tô tưới nước 5m3</v>
      </c>
      <c r="F117" s="870" t="str">
        <f>'Giá Máy'!F19</f>
        <v>ca</v>
      </c>
      <c r="G117" s="725">
        <f>PTVT!G49</f>
        <v>0.21</v>
      </c>
      <c r="H117" s="484">
        <f>'Giá Máy'!O19</f>
        <v>1152070</v>
      </c>
      <c r="I117" s="441">
        <f>'Tiên lượng'!X18</f>
        <v>1</v>
      </c>
      <c r="J117" s="484">
        <f t="shared" si="1"/>
        <v>241934.69999999998</v>
      </c>
      <c r="K117" s="874"/>
      <c r="L117" s="874"/>
      <c r="M117" s="874"/>
      <c r="N117" s="874"/>
      <c r="O117" s="874"/>
      <c r="P117" s="874"/>
      <c r="Q117" s="874"/>
      <c r="R117" s="874"/>
      <c r="S117" s="874"/>
      <c r="T117" s="874"/>
      <c r="U117" s="874"/>
      <c r="V117" s="874"/>
      <c r="W117" s="874"/>
      <c r="X117" s="874"/>
      <c r="Y117" s="874"/>
      <c r="Z117" s="874"/>
      <c r="AA117" s="874"/>
    </row>
    <row r="118" spans="1:27" x14ac:dyDescent="0.25">
      <c r="A118" s="813"/>
      <c r="B118" s="870"/>
      <c r="C118" s="66" t="s">
        <v>306</v>
      </c>
      <c r="D118" s="774" t="s">
        <v>760</v>
      </c>
      <c r="E118" s="649" t="s">
        <v>830</v>
      </c>
      <c r="F118" s="870" t="s">
        <v>1086</v>
      </c>
      <c r="G118" s="725">
        <f>PTVT!G50</f>
        <v>0.5</v>
      </c>
      <c r="H118" s="484">
        <f>IF('Tiên lượng'!X18&lt;&gt;0,SUM(J116:J117)/100/'Tiên lượng'!X18,0)</f>
        <v>5412.9740000000002</v>
      </c>
      <c r="I118" s="441">
        <f>'Tiên lượng'!X18</f>
        <v>1</v>
      </c>
      <c r="J118" s="484">
        <f t="shared" si="1"/>
        <v>2706.4870000000001</v>
      </c>
      <c r="K118" s="874"/>
      <c r="L118" s="874"/>
      <c r="M118" s="874"/>
      <c r="N118" s="874"/>
      <c r="O118" s="874"/>
      <c r="P118" s="874"/>
      <c r="Q118" s="874"/>
      <c r="R118" s="874"/>
      <c r="S118" s="874"/>
      <c r="T118" s="874"/>
      <c r="U118" s="874"/>
      <c r="V118" s="874"/>
      <c r="W118" s="874"/>
      <c r="X118" s="874"/>
      <c r="Y118" s="874"/>
      <c r="Z118" s="874"/>
      <c r="AA118" s="874"/>
    </row>
    <row r="119" spans="1:27" x14ac:dyDescent="0.25">
      <c r="A119" s="813"/>
      <c r="B119" s="870"/>
      <c r="C119" s="66" t="s">
        <v>306</v>
      </c>
      <c r="D119" s="774" t="s">
        <v>306</v>
      </c>
      <c r="E119" s="649" t="s">
        <v>1211</v>
      </c>
      <c r="F119" s="870" t="s">
        <v>969</v>
      </c>
      <c r="G119" s="735"/>
      <c r="H119" s="484"/>
      <c r="I119" s="441"/>
      <c r="J119" s="484">
        <f>J111+J113+J115</f>
        <v>55153258.102591999</v>
      </c>
      <c r="K119" s="874"/>
      <c r="L119" s="874"/>
      <c r="M119" s="874"/>
      <c r="N119" s="874"/>
      <c r="O119" s="874"/>
      <c r="P119" s="874"/>
      <c r="Q119" s="874"/>
      <c r="R119" s="874"/>
      <c r="S119" s="874"/>
      <c r="T119" s="874"/>
      <c r="U119" s="874"/>
      <c r="V119" s="874"/>
      <c r="W119" s="874"/>
      <c r="X119" s="874"/>
      <c r="Y119" s="874"/>
      <c r="Z119" s="874"/>
      <c r="AA119" s="874"/>
    </row>
    <row r="120" spans="1:27" x14ac:dyDescent="0.25">
      <c r="A120" s="813"/>
      <c r="B120" s="870"/>
      <c r="C120" s="66" t="s">
        <v>306</v>
      </c>
      <c r="D120" s="774" t="s">
        <v>306</v>
      </c>
      <c r="E120" s="649" t="s">
        <v>581</v>
      </c>
      <c r="F120" s="870" t="s">
        <v>892</v>
      </c>
      <c r="G120" s="694">
        <f>'Hệ số'!D5</f>
        <v>6.2E-2</v>
      </c>
      <c r="H120" s="484"/>
      <c r="I120" s="441"/>
      <c r="J120" s="484">
        <f>(J119)*G120</f>
        <v>3419502.0023607039</v>
      </c>
      <c r="K120" s="874"/>
      <c r="L120" s="874"/>
      <c r="M120" s="874"/>
      <c r="N120" s="874"/>
      <c r="O120" s="874"/>
      <c r="P120" s="874"/>
      <c r="Q120" s="874"/>
      <c r="R120" s="874"/>
      <c r="S120" s="874"/>
      <c r="T120" s="874"/>
      <c r="U120" s="874"/>
      <c r="V120" s="874"/>
      <c r="W120" s="874"/>
      <c r="X120" s="874"/>
      <c r="Y120" s="874"/>
      <c r="Z120" s="874"/>
      <c r="AA120" s="874"/>
    </row>
    <row r="121" spans="1:27" x14ac:dyDescent="0.25">
      <c r="A121" s="813"/>
      <c r="B121" s="870"/>
      <c r="C121" s="66" t="s">
        <v>306</v>
      </c>
      <c r="D121" s="774" t="s">
        <v>306</v>
      </c>
      <c r="E121" s="649" t="s">
        <v>634</v>
      </c>
      <c r="F121" s="870" t="s">
        <v>997</v>
      </c>
      <c r="G121" s="694">
        <f>'Hệ số'!D11</f>
        <v>1.1000000000000001E-2</v>
      </c>
      <c r="H121" s="484"/>
      <c r="I121" s="441"/>
      <c r="J121" s="484">
        <f>(J119)*G121</f>
        <v>606685.83912851207</v>
      </c>
      <c r="K121" s="874"/>
      <c r="L121" s="874"/>
      <c r="M121" s="874"/>
      <c r="N121" s="874"/>
      <c r="O121" s="874"/>
      <c r="P121" s="874"/>
      <c r="Q121" s="874"/>
      <c r="R121" s="874"/>
      <c r="S121" s="874"/>
      <c r="T121" s="874"/>
      <c r="U121" s="874"/>
      <c r="V121" s="874"/>
      <c r="W121" s="874"/>
      <c r="X121" s="874"/>
      <c r="Y121" s="874"/>
      <c r="Z121" s="874"/>
      <c r="AA121" s="874"/>
    </row>
    <row r="122" spans="1:27" ht="30" x14ac:dyDescent="0.25">
      <c r="A122" s="813"/>
      <c r="B122" s="870"/>
      <c r="C122" s="66" t="s">
        <v>306</v>
      </c>
      <c r="D122" s="774" t="s">
        <v>306</v>
      </c>
      <c r="E122" s="649" t="s">
        <v>51</v>
      </c>
      <c r="F122" s="870" t="s">
        <v>172</v>
      </c>
      <c r="G122" s="319">
        <f>'Hệ số'!D8</f>
        <v>0.02</v>
      </c>
      <c r="H122" s="484"/>
      <c r="I122" s="441"/>
      <c r="J122" s="484">
        <f>(J119)*G122</f>
        <v>1103065.16205184</v>
      </c>
      <c r="K122" s="874"/>
      <c r="L122" s="874"/>
      <c r="M122" s="874"/>
      <c r="N122" s="874"/>
      <c r="O122" s="874"/>
      <c r="P122" s="874"/>
      <c r="Q122" s="874"/>
      <c r="R122" s="874"/>
      <c r="S122" s="874"/>
      <c r="T122" s="874"/>
      <c r="U122" s="874"/>
      <c r="V122" s="874"/>
      <c r="W122" s="874"/>
      <c r="X122" s="874"/>
      <c r="Y122" s="874"/>
      <c r="Z122" s="874"/>
      <c r="AA122" s="874"/>
    </row>
    <row r="123" spans="1:27" x14ac:dyDescent="0.25">
      <c r="A123" s="813"/>
      <c r="B123" s="870"/>
      <c r="C123" s="66" t="s">
        <v>306</v>
      </c>
      <c r="D123" s="774" t="s">
        <v>306</v>
      </c>
      <c r="E123" s="649" t="s">
        <v>4</v>
      </c>
      <c r="F123" s="870" t="s">
        <v>1074</v>
      </c>
      <c r="G123" s="735"/>
      <c r="H123" s="484"/>
      <c r="I123" s="441"/>
      <c r="J123" s="484">
        <f>J120+J121+J122</f>
        <v>5129253.0035410561</v>
      </c>
      <c r="K123" s="874"/>
      <c r="L123" s="874"/>
      <c r="M123" s="874"/>
      <c r="N123" s="874"/>
      <c r="O123" s="874"/>
      <c r="P123" s="874"/>
      <c r="Q123" s="874"/>
      <c r="R123" s="874"/>
      <c r="S123" s="874"/>
      <c r="T123" s="874"/>
      <c r="U123" s="874"/>
      <c r="V123" s="874"/>
      <c r="W123" s="874"/>
      <c r="X123" s="874"/>
      <c r="Y123" s="874"/>
      <c r="Z123" s="874"/>
      <c r="AA123" s="874"/>
    </row>
    <row r="124" spans="1:27" ht="30" x14ac:dyDescent="0.25">
      <c r="A124" s="813"/>
      <c r="B124" s="870"/>
      <c r="C124" s="66" t="s">
        <v>306</v>
      </c>
      <c r="D124" s="774" t="s">
        <v>306</v>
      </c>
      <c r="E124" s="649" t="s">
        <v>926</v>
      </c>
      <c r="F124" s="870" t="s">
        <v>877</v>
      </c>
      <c r="G124" s="319">
        <f>'Hệ số'!D15</f>
        <v>0.06</v>
      </c>
      <c r="H124" s="484"/>
      <c r="I124" s="441"/>
      <c r="J124" s="484">
        <f>(J119+J123)*G124</f>
        <v>3616950.6663679834</v>
      </c>
      <c r="K124" s="874"/>
      <c r="L124" s="874"/>
      <c r="M124" s="874"/>
      <c r="N124" s="874"/>
      <c r="O124" s="874"/>
      <c r="P124" s="874"/>
      <c r="Q124" s="874"/>
      <c r="R124" s="874"/>
      <c r="S124" s="874"/>
      <c r="T124" s="874"/>
      <c r="U124" s="874"/>
      <c r="V124" s="874"/>
      <c r="W124" s="874"/>
      <c r="X124" s="874"/>
      <c r="Y124" s="874"/>
      <c r="Z124" s="874"/>
      <c r="AA124" s="874"/>
    </row>
    <row r="125" spans="1:27" x14ac:dyDescent="0.25">
      <c r="A125" s="813"/>
      <c r="B125" s="870"/>
      <c r="C125" s="66" t="s">
        <v>306</v>
      </c>
      <c r="D125" s="774" t="s">
        <v>306</v>
      </c>
      <c r="E125" s="421" t="s">
        <v>699</v>
      </c>
      <c r="F125" s="143" t="s">
        <v>516</v>
      </c>
      <c r="G125" s="735"/>
      <c r="H125" s="484"/>
      <c r="I125" s="441"/>
      <c r="J125" s="270">
        <f>J119+J123+J124</f>
        <v>63899461.772501044</v>
      </c>
      <c r="K125" s="874"/>
      <c r="L125" s="874"/>
      <c r="M125" s="874"/>
      <c r="N125" s="874"/>
      <c r="O125" s="874"/>
      <c r="P125" s="874"/>
      <c r="Q125" s="874"/>
      <c r="R125" s="874"/>
      <c r="S125" s="874"/>
      <c r="T125" s="874"/>
      <c r="U125" s="874"/>
      <c r="V125" s="874"/>
      <c r="W125" s="874"/>
      <c r="X125" s="874"/>
      <c r="Y125" s="874"/>
      <c r="Z125" s="874"/>
      <c r="AA125" s="874"/>
    </row>
    <row r="126" spans="1:27" x14ac:dyDescent="0.25">
      <c r="A126" s="813"/>
      <c r="B126" s="870"/>
      <c r="C126" s="66" t="s">
        <v>306</v>
      </c>
      <c r="D126" s="774" t="s">
        <v>306</v>
      </c>
      <c r="E126" s="649" t="s">
        <v>1117</v>
      </c>
      <c r="F126" s="870" t="s">
        <v>447</v>
      </c>
      <c r="G126" s="319">
        <f>'Hệ số'!D17</f>
        <v>0.08</v>
      </c>
      <c r="H126" s="484"/>
      <c r="I126" s="441"/>
      <c r="J126" s="484">
        <f>(J125)*G126</f>
        <v>5111956.941800084</v>
      </c>
      <c r="K126" s="874"/>
      <c r="L126" s="874"/>
      <c r="M126" s="874"/>
      <c r="N126" s="874"/>
      <c r="O126" s="874"/>
      <c r="P126" s="874"/>
      <c r="Q126" s="874"/>
      <c r="R126" s="874"/>
      <c r="S126" s="874"/>
      <c r="T126" s="874"/>
      <c r="U126" s="874"/>
      <c r="V126" s="874"/>
      <c r="W126" s="874"/>
      <c r="X126" s="874"/>
      <c r="Y126" s="874"/>
      <c r="Z126" s="874"/>
      <c r="AA126" s="874"/>
    </row>
    <row r="127" spans="1:27" x14ac:dyDescent="0.25">
      <c r="A127" s="468"/>
      <c r="B127" s="534"/>
      <c r="C127" s="638" t="s">
        <v>306</v>
      </c>
      <c r="D127" s="420" t="s">
        <v>306</v>
      </c>
      <c r="E127" s="438" t="s">
        <v>1316</v>
      </c>
      <c r="F127" s="698" t="s">
        <v>927</v>
      </c>
      <c r="G127" s="750"/>
      <c r="H127" s="128"/>
      <c r="I127" s="462"/>
      <c r="J127" s="880">
        <f>J125+J126</f>
        <v>69011418.714301124</v>
      </c>
      <c r="K127" s="874"/>
      <c r="L127" s="874"/>
      <c r="M127" s="874"/>
      <c r="N127" s="874"/>
      <c r="O127" s="874"/>
      <c r="P127" s="874"/>
      <c r="Q127" s="874"/>
      <c r="R127" s="874"/>
      <c r="S127" s="874"/>
      <c r="T127" s="874"/>
      <c r="U127" s="874"/>
      <c r="V127" s="874"/>
      <c r="W127" s="874"/>
      <c r="X127" s="874"/>
      <c r="Y127" s="874"/>
      <c r="Z127" s="874"/>
      <c r="AA127" s="874"/>
    </row>
    <row r="128" spans="1:27" ht="30" x14ac:dyDescent="0.25">
      <c r="A128" s="895"/>
      <c r="B128" s="58">
        <v>9</v>
      </c>
      <c r="C128" s="137" t="str">
        <f>'Tiên lượng'!C20</f>
        <v>AD.11222.VD</v>
      </c>
      <c r="D128" s="137" t="str">
        <f>'Tiên lượng'!C20</f>
        <v>AD.11222.VD</v>
      </c>
      <c r="E128" s="693" t="str">
        <f>'Tiên lượng'!D20</f>
        <v>Thi công lớp đệm móng bằng đá mạt. chiều dài 150m</v>
      </c>
      <c r="F128" s="58" t="str">
        <f>'Tiên lượng'!E20</f>
        <v>100m3</v>
      </c>
      <c r="G128" s="254"/>
      <c r="H128" s="194"/>
      <c r="I128" s="527"/>
      <c r="J128" s="194"/>
      <c r="K128" s="874"/>
      <c r="L128" s="874"/>
      <c r="M128" s="874"/>
      <c r="N128" s="874"/>
      <c r="O128" s="874"/>
      <c r="P128" s="874"/>
      <c r="Q128" s="874"/>
      <c r="R128" s="874"/>
      <c r="S128" s="874"/>
      <c r="T128" s="874"/>
      <c r="U128" s="874"/>
      <c r="V128" s="874"/>
      <c r="W128" s="874"/>
      <c r="X128" s="874"/>
      <c r="Y128" s="874"/>
      <c r="Z128" s="874"/>
      <c r="AA128" s="874"/>
    </row>
    <row r="129" spans="1:27" x14ac:dyDescent="0.25">
      <c r="A129" s="129"/>
      <c r="B129" s="198"/>
      <c r="C129" s="810" t="s">
        <v>306</v>
      </c>
      <c r="D129" s="810" t="s">
        <v>306</v>
      </c>
      <c r="E129" s="473" t="s">
        <v>1372</v>
      </c>
      <c r="F129" s="198" t="s">
        <v>479</v>
      </c>
      <c r="G129" s="32"/>
      <c r="H129" s="333"/>
      <c r="I129" s="671"/>
      <c r="J129" s="333">
        <f>SUM(J130:J130)</f>
        <v>53127806.215591997</v>
      </c>
      <c r="K129" s="874"/>
      <c r="L129" s="874"/>
      <c r="M129" s="874"/>
      <c r="N129" s="874"/>
      <c r="O129" s="874"/>
      <c r="P129" s="874"/>
      <c r="Q129" s="874"/>
      <c r="R129" s="874"/>
      <c r="S129" s="874"/>
      <c r="T129" s="874"/>
      <c r="U129" s="874"/>
      <c r="V129" s="874"/>
      <c r="W129" s="874"/>
      <c r="X129" s="874"/>
      <c r="Y129" s="874"/>
      <c r="Z129" s="874"/>
      <c r="AA129" s="874"/>
    </row>
    <row r="130" spans="1:27" x14ac:dyDescent="0.25">
      <c r="A130" s="813"/>
      <c r="B130" s="870"/>
      <c r="C130" s="66" t="s">
        <v>306</v>
      </c>
      <c r="D130" s="774" t="s">
        <v>1290</v>
      </c>
      <c r="E130" s="649" t="str">
        <f>" - " &amp; 'Giá VL'!E7</f>
        <v xml:space="preserve"> - Đá mạt</v>
      </c>
      <c r="F130" s="870" t="str">
        <f>'Giá VL'!F7</f>
        <v>m3</v>
      </c>
      <c r="G130" s="725">
        <f>PTVT!G53</f>
        <v>134</v>
      </c>
      <c r="H130" s="484">
        <f>'Giá VL'!V7</f>
        <v>396476.16578799998</v>
      </c>
      <c r="I130" s="441">
        <f>'Tiên lượng'!V20</f>
        <v>1</v>
      </c>
      <c r="J130" s="484">
        <f>PRODUCT(G130,H130,I130)</f>
        <v>53127806.215591997</v>
      </c>
      <c r="K130" s="874"/>
      <c r="L130" s="874"/>
      <c r="M130" s="874"/>
      <c r="N130" s="874"/>
      <c r="O130" s="874"/>
      <c r="P130" s="874"/>
      <c r="Q130" s="874"/>
      <c r="R130" s="874"/>
      <c r="S130" s="874"/>
      <c r="T130" s="874"/>
      <c r="U130" s="874"/>
      <c r="V130" s="874"/>
      <c r="W130" s="874"/>
      <c r="X130" s="874"/>
      <c r="Y130" s="874"/>
      <c r="Z130" s="874"/>
      <c r="AA130" s="874"/>
    </row>
    <row r="131" spans="1:27" x14ac:dyDescent="0.25">
      <c r="A131" s="129"/>
      <c r="B131" s="198"/>
      <c r="C131" s="810" t="s">
        <v>306</v>
      </c>
      <c r="D131" s="810" t="s">
        <v>306</v>
      </c>
      <c r="E131" s="473" t="s">
        <v>890</v>
      </c>
      <c r="F131" s="198" t="s">
        <v>125</v>
      </c>
      <c r="G131" s="32"/>
      <c r="H131" s="333"/>
      <c r="I131" s="671"/>
      <c r="J131" s="333">
        <f>SUM(J132:J132)</f>
        <v>1234540</v>
      </c>
      <c r="K131" s="874"/>
      <c r="L131" s="874"/>
      <c r="M131" s="874"/>
      <c r="N131" s="874"/>
      <c r="O131" s="874"/>
      <c r="P131" s="874"/>
      <c r="Q131" s="874"/>
      <c r="R131" s="874"/>
      <c r="S131" s="874"/>
      <c r="T131" s="874"/>
      <c r="U131" s="874"/>
      <c r="V131" s="874"/>
      <c r="W131" s="874"/>
      <c r="X131" s="874"/>
      <c r="Y131" s="874"/>
      <c r="Z131" s="874"/>
      <c r="AA131" s="874"/>
    </row>
    <row r="132" spans="1:27" x14ac:dyDescent="0.25">
      <c r="A132" s="813"/>
      <c r="B132" s="870"/>
      <c r="C132" s="66" t="s">
        <v>306</v>
      </c>
      <c r="D132" s="774" t="s">
        <v>1103</v>
      </c>
      <c r="E132" s="649" t="str">
        <f>" - " &amp; 'Giá NC'!E6</f>
        <v xml:space="preserve"> - Nhân công bậc 3,0/7 - Nhóm 2</v>
      </c>
      <c r="F132" s="870" t="str">
        <f>'Giá NC'!F6</f>
        <v>công</v>
      </c>
      <c r="G132" s="725">
        <f>PTVT!G55</f>
        <v>5</v>
      </c>
      <c r="H132" s="484">
        <f>'Giá NC'!K6</f>
        <v>246908</v>
      </c>
      <c r="I132" s="441">
        <f>'Tiên lượng'!W20</f>
        <v>1</v>
      </c>
      <c r="J132" s="484">
        <f>PRODUCT(G132,H132,I132)</f>
        <v>1234540</v>
      </c>
      <c r="K132" s="874"/>
      <c r="L132" s="874"/>
      <c r="M132" s="874"/>
      <c r="N132" s="874"/>
      <c r="O132" s="874"/>
      <c r="P132" s="874"/>
      <c r="Q132" s="874"/>
      <c r="R132" s="874"/>
      <c r="S132" s="874"/>
      <c r="T132" s="874"/>
      <c r="U132" s="874"/>
      <c r="V132" s="874"/>
      <c r="W132" s="874"/>
      <c r="X132" s="874"/>
      <c r="Y132" s="874"/>
      <c r="Z132" s="874"/>
      <c r="AA132" s="874"/>
    </row>
    <row r="133" spans="1:27" x14ac:dyDescent="0.25">
      <c r="A133" s="129"/>
      <c r="B133" s="198"/>
      <c r="C133" s="810" t="s">
        <v>306</v>
      </c>
      <c r="D133" s="810" t="s">
        <v>306</v>
      </c>
      <c r="E133" s="473" t="s">
        <v>556</v>
      </c>
      <c r="F133" s="198" t="s">
        <v>539</v>
      </c>
      <c r="G133" s="32"/>
      <c r="H133" s="333"/>
      <c r="I133" s="671"/>
      <c r="J133" s="333">
        <v>0</v>
      </c>
      <c r="K133" s="874"/>
      <c r="L133" s="874"/>
      <c r="M133" s="874"/>
      <c r="N133" s="874"/>
      <c r="O133" s="874"/>
      <c r="P133" s="874"/>
      <c r="Q133" s="874"/>
      <c r="R133" s="874"/>
      <c r="S133" s="874"/>
      <c r="T133" s="874"/>
      <c r="U133" s="874"/>
      <c r="V133" s="874"/>
      <c r="W133" s="874"/>
      <c r="X133" s="874"/>
      <c r="Y133" s="874"/>
      <c r="Z133" s="874"/>
      <c r="AA133" s="874"/>
    </row>
    <row r="134" spans="1:27" x14ac:dyDescent="0.25">
      <c r="A134" s="813"/>
      <c r="B134" s="870"/>
      <c r="C134" s="66" t="s">
        <v>306</v>
      </c>
      <c r="D134" s="774" t="s">
        <v>306</v>
      </c>
      <c r="E134" s="649" t="s">
        <v>1211</v>
      </c>
      <c r="F134" s="870" t="s">
        <v>969</v>
      </c>
      <c r="G134" s="735"/>
      <c r="H134" s="484"/>
      <c r="I134" s="441"/>
      <c r="J134" s="484">
        <f>J129+J131+J133</f>
        <v>54362346.215591997</v>
      </c>
      <c r="K134" s="874"/>
      <c r="L134" s="874"/>
      <c r="M134" s="874"/>
      <c r="N134" s="874"/>
      <c r="O134" s="874"/>
      <c r="P134" s="874"/>
      <c r="Q134" s="874"/>
      <c r="R134" s="874"/>
      <c r="S134" s="874"/>
      <c r="T134" s="874"/>
      <c r="U134" s="874"/>
      <c r="V134" s="874"/>
      <c r="W134" s="874"/>
      <c r="X134" s="874"/>
      <c r="Y134" s="874"/>
      <c r="Z134" s="874"/>
      <c r="AA134" s="874"/>
    </row>
    <row r="135" spans="1:27" x14ac:dyDescent="0.25">
      <c r="A135" s="813"/>
      <c r="B135" s="870"/>
      <c r="C135" s="66" t="s">
        <v>306</v>
      </c>
      <c r="D135" s="774" t="s">
        <v>306</v>
      </c>
      <c r="E135" s="649" t="s">
        <v>581</v>
      </c>
      <c r="F135" s="870" t="s">
        <v>892</v>
      </c>
      <c r="G135" s="694">
        <f>'Hệ số'!D5</f>
        <v>6.2E-2</v>
      </c>
      <c r="H135" s="484"/>
      <c r="I135" s="441"/>
      <c r="J135" s="484">
        <f>(J134)*G135</f>
        <v>3370465.4653667039</v>
      </c>
      <c r="K135" s="874"/>
      <c r="L135" s="874"/>
      <c r="M135" s="874"/>
      <c r="N135" s="874"/>
      <c r="O135" s="874"/>
      <c r="P135" s="874"/>
      <c r="Q135" s="874"/>
      <c r="R135" s="874"/>
      <c r="S135" s="874"/>
      <c r="T135" s="874"/>
      <c r="U135" s="874"/>
      <c r="V135" s="874"/>
      <c r="W135" s="874"/>
      <c r="X135" s="874"/>
      <c r="Y135" s="874"/>
      <c r="Z135" s="874"/>
      <c r="AA135" s="874"/>
    </row>
    <row r="136" spans="1:27" x14ac:dyDescent="0.25">
      <c r="A136" s="813"/>
      <c r="B136" s="870"/>
      <c r="C136" s="66" t="s">
        <v>306</v>
      </c>
      <c r="D136" s="774" t="s">
        <v>306</v>
      </c>
      <c r="E136" s="649" t="s">
        <v>634</v>
      </c>
      <c r="F136" s="870" t="s">
        <v>997</v>
      </c>
      <c r="G136" s="694">
        <f>'Hệ số'!D11</f>
        <v>1.1000000000000001E-2</v>
      </c>
      <c r="H136" s="484"/>
      <c r="I136" s="441"/>
      <c r="J136" s="484">
        <f>(J134)*G136</f>
        <v>597985.80837151199</v>
      </c>
      <c r="K136" s="874"/>
      <c r="L136" s="874"/>
      <c r="M136" s="874"/>
      <c r="N136" s="874"/>
      <c r="O136" s="874"/>
      <c r="P136" s="874"/>
      <c r="Q136" s="874"/>
      <c r="R136" s="874"/>
      <c r="S136" s="874"/>
      <c r="T136" s="874"/>
      <c r="U136" s="874"/>
      <c r="V136" s="874"/>
      <c r="W136" s="874"/>
      <c r="X136" s="874"/>
      <c r="Y136" s="874"/>
      <c r="Z136" s="874"/>
      <c r="AA136" s="874"/>
    </row>
    <row r="137" spans="1:27" ht="30" x14ac:dyDescent="0.25">
      <c r="A137" s="813"/>
      <c r="B137" s="870"/>
      <c r="C137" s="66" t="s">
        <v>306</v>
      </c>
      <c r="D137" s="774" t="s">
        <v>306</v>
      </c>
      <c r="E137" s="649" t="s">
        <v>51</v>
      </c>
      <c r="F137" s="870" t="s">
        <v>172</v>
      </c>
      <c r="G137" s="319">
        <f>'Hệ số'!D8</f>
        <v>0.02</v>
      </c>
      <c r="H137" s="484"/>
      <c r="I137" s="441"/>
      <c r="J137" s="484">
        <f>(J134)*G137</f>
        <v>1087246.92431184</v>
      </c>
      <c r="K137" s="874"/>
      <c r="L137" s="874"/>
      <c r="M137" s="874"/>
      <c r="N137" s="874"/>
      <c r="O137" s="874"/>
      <c r="P137" s="874"/>
      <c r="Q137" s="874"/>
      <c r="R137" s="874"/>
      <c r="S137" s="874"/>
      <c r="T137" s="874"/>
      <c r="U137" s="874"/>
      <c r="V137" s="874"/>
      <c r="W137" s="874"/>
      <c r="X137" s="874"/>
      <c r="Y137" s="874"/>
      <c r="Z137" s="874"/>
      <c r="AA137" s="874"/>
    </row>
    <row r="138" spans="1:27" x14ac:dyDescent="0.25">
      <c r="A138" s="813"/>
      <c r="B138" s="870"/>
      <c r="C138" s="66" t="s">
        <v>306</v>
      </c>
      <c r="D138" s="774" t="s">
        <v>306</v>
      </c>
      <c r="E138" s="649" t="s">
        <v>4</v>
      </c>
      <c r="F138" s="870" t="s">
        <v>1074</v>
      </c>
      <c r="G138" s="735"/>
      <c r="H138" s="484"/>
      <c r="I138" s="441"/>
      <c r="J138" s="484">
        <f>J135+J136+J137</f>
        <v>5055698.1980500557</v>
      </c>
      <c r="K138" s="874"/>
      <c r="L138" s="874"/>
      <c r="M138" s="874"/>
      <c r="N138" s="874"/>
      <c r="O138" s="874"/>
      <c r="P138" s="874"/>
      <c r="Q138" s="874"/>
      <c r="R138" s="874"/>
      <c r="S138" s="874"/>
      <c r="T138" s="874"/>
      <c r="U138" s="874"/>
      <c r="V138" s="874"/>
      <c r="W138" s="874"/>
      <c r="X138" s="874"/>
      <c r="Y138" s="874"/>
      <c r="Z138" s="874"/>
      <c r="AA138" s="874"/>
    </row>
    <row r="139" spans="1:27" ht="30" x14ac:dyDescent="0.25">
      <c r="A139" s="813"/>
      <c r="B139" s="870"/>
      <c r="C139" s="66" t="s">
        <v>306</v>
      </c>
      <c r="D139" s="774" t="s">
        <v>306</v>
      </c>
      <c r="E139" s="649" t="s">
        <v>926</v>
      </c>
      <c r="F139" s="870" t="s">
        <v>877</v>
      </c>
      <c r="G139" s="319">
        <f>'Hệ số'!D15</f>
        <v>0.06</v>
      </c>
      <c r="H139" s="484"/>
      <c r="I139" s="441"/>
      <c r="J139" s="484">
        <f>(J134+J138)*G139</f>
        <v>3565082.664818523</v>
      </c>
      <c r="K139" s="874"/>
      <c r="L139" s="874"/>
      <c r="M139" s="874"/>
      <c r="N139" s="874"/>
      <c r="O139" s="874"/>
      <c r="P139" s="874"/>
      <c r="Q139" s="874"/>
      <c r="R139" s="874"/>
      <c r="S139" s="874"/>
      <c r="T139" s="874"/>
      <c r="U139" s="874"/>
      <c r="V139" s="874"/>
      <c r="W139" s="874"/>
      <c r="X139" s="874"/>
      <c r="Y139" s="874"/>
      <c r="Z139" s="874"/>
      <c r="AA139" s="874"/>
    </row>
    <row r="140" spans="1:27" x14ac:dyDescent="0.25">
      <c r="A140" s="813"/>
      <c r="B140" s="870"/>
      <c r="C140" s="66" t="s">
        <v>306</v>
      </c>
      <c r="D140" s="774" t="s">
        <v>306</v>
      </c>
      <c r="E140" s="421" t="s">
        <v>699</v>
      </c>
      <c r="F140" s="143" t="s">
        <v>516</v>
      </c>
      <c r="G140" s="735"/>
      <c r="H140" s="484"/>
      <c r="I140" s="441"/>
      <c r="J140" s="270">
        <f>J134+J138+J139</f>
        <v>62983127.078460574</v>
      </c>
      <c r="K140" s="874"/>
      <c r="L140" s="874"/>
      <c r="M140" s="874"/>
      <c r="N140" s="874"/>
      <c r="O140" s="874"/>
      <c r="P140" s="874"/>
      <c r="Q140" s="874"/>
      <c r="R140" s="874"/>
      <c r="S140" s="874"/>
      <c r="T140" s="874"/>
      <c r="U140" s="874"/>
      <c r="V140" s="874"/>
      <c r="W140" s="874"/>
      <c r="X140" s="874"/>
      <c r="Y140" s="874"/>
      <c r="Z140" s="874"/>
      <c r="AA140" s="874"/>
    </row>
    <row r="141" spans="1:27" x14ac:dyDescent="0.25">
      <c r="A141" s="813"/>
      <c r="B141" s="870"/>
      <c r="C141" s="66" t="s">
        <v>306</v>
      </c>
      <c r="D141" s="774" t="s">
        <v>306</v>
      </c>
      <c r="E141" s="649" t="s">
        <v>1117</v>
      </c>
      <c r="F141" s="870" t="s">
        <v>447</v>
      </c>
      <c r="G141" s="319">
        <f>'Hệ số'!D17</f>
        <v>0.08</v>
      </c>
      <c r="H141" s="484"/>
      <c r="I141" s="441"/>
      <c r="J141" s="484">
        <f>(J140)*G141</f>
        <v>5038650.1662768461</v>
      </c>
      <c r="K141" s="874"/>
      <c r="L141" s="874"/>
      <c r="M141" s="874"/>
      <c r="N141" s="874"/>
      <c r="O141" s="874"/>
      <c r="P141" s="874"/>
      <c r="Q141" s="874"/>
      <c r="R141" s="874"/>
      <c r="S141" s="874"/>
      <c r="T141" s="874"/>
      <c r="U141" s="874"/>
      <c r="V141" s="874"/>
      <c r="W141" s="874"/>
      <c r="X141" s="874"/>
      <c r="Y141" s="874"/>
      <c r="Z141" s="874"/>
      <c r="AA141" s="874"/>
    </row>
    <row r="142" spans="1:27" x14ac:dyDescent="0.25">
      <c r="A142" s="468"/>
      <c r="B142" s="534"/>
      <c r="C142" s="638" t="s">
        <v>306</v>
      </c>
      <c r="D142" s="420" t="s">
        <v>306</v>
      </c>
      <c r="E142" s="438" t="s">
        <v>1316</v>
      </c>
      <c r="F142" s="698" t="s">
        <v>927</v>
      </c>
      <c r="G142" s="750"/>
      <c r="H142" s="128"/>
      <c r="I142" s="462"/>
      <c r="J142" s="880">
        <f>J140+J141</f>
        <v>68021777.244737417</v>
      </c>
      <c r="K142" s="874"/>
      <c r="L142" s="874"/>
      <c r="M142" s="874"/>
      <c r="N142" s="874"/>
      <c r="O142" s="874"/>
      <c r="P142" s="874"/>
      <c r="Q142" s="874"/>
      <c r="R142" s="874"/>
      <c r="S142" s="874"/>
      <c r="T142" s="874"/>
      <c r="U142" s="874"/>
      <c r="V142" s="874"/>
      <c r="W142" s="874"/>
      <c r="X142" s="874"/>
      <c r="Y142" s="874"/>
      <c r="Z142" s="874"/>
      <c r="AA142" s="874"/>
    </row>
    <row r="143" spans="1:27" ht="30" x14ac:dyDescent="0.25">
      <c r="A143" s="895"/>
      <c r="B143" s="58">
        <v>10</v>
      </c>
      <c r="C143" s="137" t="str">
        <f>'Tiên lượng'!C22</f>
        <v>TT.00001</v>
      </c>
      <c r="D143" s="137" t="str">
        <f>'Tiên lượng'!C22</f>
        <v>TT.00001</v>
      </c>
      <c r="E143" s="693" t="str">
        <f>'Tiên lượng'!D22</f>
        <v xml:space="preserve">San gạt tạo phẳng nền đường bằng máy San </v>
      </c>
      <c r="F143" s="58" t="str">
        <f>'Tiên lượng'!E22</f>
        <v>ca</v>
      </c>
      <c r="G143" s="254"/>
      <c r="H143" s="194"/>
      <c r="I143" s="527"/>
      <c r="J143" s="194"/>
      <c r="K143" s="874"/>
      <c r="L143" s="874"/>
      <c r="M143" s="874"/>
      <c r="N143" s="874"/>
      <c r="O143" s="874"/>
      <c r="P143" s="874"/>
      <c r="Q143" s="874"/>
      <c r="R143" s="874"/>
      <c r="S143" s="874"/>
      <c r="T143" s="874"/>
      <c r="U143" s="874"/>
      <c r="V143" s="874"/>
      <c r="W143" s="874"/>
      <c r="X143" s="874"/>
      <c r="Y143" s="874"/>
      <c r="Z143" s="874"/>
      <c r="AA143" s="874"/>
    </row>
    <row r="144" spans="1:27" x14ac:dyDescent="0.25">
      <c r="A144" s="129"/>
      <c r="B144" s="198"/>
      <c r="C144" s="810" t="s">
        <v>306</v>
      </c>
      <c r="D144" s="810" t="s">
        <v>306</v>
      </c>
      <c r="E144" s="473" t="s">
        <v>176</v>
      </c>
      <c r="F144" s="198" t="s">
        <v>479</v>
      </c>
      <c r="G144" s="32"/>
      <c r="H144" s="333"/>
      <c r="I144" s="671"/>
      <c r="J144" s="333">
        <v>0</v>
      </c>
      <c r="K144" s="874"/>
      <c r="L144" s="874"/>
      <c r="M144" s="874"/>
      <c r="N144" s="874"/>
      <c r="O144" s="874"/>
      <c r="P144" s="874"/>
      <c r="Q144" s="874"/>
      <c r="R144" s="874"/>
      <c r="S144" s="874"/>
      <c r="T144" s="874"/>
      <c r="U144" s="874"/>
      <c r="V144" s="874"/>
      <c r="W144" s="874"/>
      <c r="X144" s="874"/>
      <c r="Y144" s="874"/>
      <c r="Z144" s="874"/>
      <c r="AA144" s="874"/>
    </row>
    <row r="145" spans="1:27" x14ac:dyDescent="0.25">
      <c r="A145" s="129"/>
      <c r="B145" s="198"/>
      <c r="C145" s="810" t="s">
        <v>306</v>
      </c>
      <c r="D145" s="810" t="s">
        <v>306</v>
      </c>
      <c r="E145" s="473" t="s">
        <v>740</v>
      </c>
      <c r="F145" s="198" t="s">
        <v>836</v>
      </c>
      <c r="G145" s="32"/>
      <c r="H145" s="333"/>
      <c r="I145" s="671"/>
      <c r="J145" s="333">
        <v>0</v>
      </c>
      <c r="K145" s="874"/>
      <c r="L145" s="874"/>
      <c r="M145" s="874"/>
      <c r="N145" s="874"/>
      <c r="O145" s="874"/>
      <c r="P145" s="874"/>
      <c r="Q145" s="874"/>
      <c r="R145" s="874"/>
      <c r="S145" s="874"/>
      <c r="T145" s="874"/>
      <c r="U145" s="874"/>
      <c r="V145" s="874"/>
      <c r="W145" s="874"/>
      <c r="X145" s="874"/>
      <c r="Y145" s="874"/>
      <c r="Z145" s="874"/>
      <c r="AA145" s="874"/>
    </row>
    <row r="146" spans="1:27" x14ac:dyDescent="0.25">
      <c r="A146" s="129"/>
      <c r="B146" s="198"/>
      <c r="C146" s="810" t="s">
        <v>306</v>
      </c>
      <c r="D146" s="810" t="s">
        <v>306</v>
      </c>
      <c r="E146" s="473" t="s">
        <v>890</v>
      </c>
      <c r="F146" s="198" t="s">
        <v>125</v>
      </c>
      <c r="G146" s="32"/>
      <c r="H146" s="333"/>
      <c r="I146" s="671"/>
      <c r="J146" s="333">
        <v>0</v>
      </c>
      <c r="K146" s="874"/>
      <c r="L146" s="874"/>
      <c r="M146" s="874"/>
      <c r="N146" s="874"/>
      <c r="O146" s="874"/>
      <c r="P146" s="874"/>
      <c r="Q146" s="874"/>
      <c r="R146" s="874"/>
      <c r="S146" s="874"/>
      <c r="T146" s="874"/>
      <c r="U146" s="874"/>
      <c r="V146" s="874"/>
      <c r="W146" s="874"/>
      <c r="X146" s="874"/>
      <c r="Y146" s="874"/>
      <c r="Z146" s="874"/>
      <c r="AA146" s="874"/>
    </row>
    <row r="147" spans="1:27" x14ac:dyDescent="0.25">
      <c r="A147" s="129"/>
      <c r="B147" s="198"/>
      <c r="C147" s="810" t="s">
        <v>306</v>
      </c>
      <c r="D147" s="810" t="s">
        <v>306</v>
      </c>
      <c r="E147" s="473" t="s">
        <v>556</v>
      </c>
      <c r="F147" s="198" t="s">
        <v>539</v>
      </c>
      <c r="G147" s="32"/>
      <c r="H147" s="333"/>
      <c r="I147" s="671"/>
      <c r="J147" s="333">
        <f>SUM(J148:J148)</f>
        <v>5000000</v>
      </c>
      <c r="K147" s="874"/>
      <c r="L147" s="874"/>
      <c r="M147" s="874"/>
      <c r="N147" s="874"/>
      <c r="O147" s="874"/>
      <c r="P147" s="874"/>
      <c r="Q147" s="874"/>
      <c r="R147" s="874"/>
      <c r="S147" s="874"/>
      <c r="T147" s="874"/>
      <c r="U147" s="874"/>
      <c r="V147" s="874"/>
      <c r="W147" s="874"/>
      <c r="X147" s="874"/>
      <c r="Y147" s="874"/>
      <c r="Z147" s="874"/>
      <c r="AA147" s="874"/>
    </row>
    <row r="148" spans="1:27" x14ac:dyDescent="0.25">
      <c r="A148" s="813"/>
      <c r="B148" s="870"/>
      <c r="C148" s="66" t="s">
        <v>306</v>
      </c>
      <c r="D148" s="774" t="s">
        <v>306</v>
      </c>
      <c r="E148" s="649" t="s">
        <v>1228</v>
      </c>
      <c r="F148" s="870" t="s">
        <v>1272</v>
      </c>
      <c r="G148" s="725">
        <f>PTVT!G62</f>
        <v>1</v>
      </c>
      <c r="H148" s="484">
        <f>'Tiên lượng'!Q22</f>
        <v>5000000</v>
      </c>
      <c r="I148" s="441"/>
      <c r="J148" s="484">
        <f>PRODUCT(G148,H148,I148)</f>
        <v>5000000</v>
      </c>
      <c r="K148" s="874"/>
      <c r="L148" s="874"/>
      <c r="M148" s="874"/>
      <c r="N148" s="874"/>
      <c r="O148" s="874"/>
      <c r="P148" s="874"/>
      <c r="Q148" s="874"/>
      <c r="R148" s="874"/>
      <c r="S148" s="874"/>
      <c r="T148" s="874"/>
      <c r="U148" s="874"/>
      <c r="V148" s="874"/>
      <c r="W148" s="874"/>
      <c r="X148" s="874"/>
      <c r="Y148" s="874"/>
      <c r="Z148" s="874"/>
      <c r="AA148" s="874"/>
    </row>
    <row r="149" spans="1:27" x14ac:dyDescent="0.25">
      <c r="A149" s="813"/>
      <c r="B149" s="870"/>
      <c r="C149" s="66" t="s">
        <v>306</v>
      </c>
      <c r="D149" s="774" t="s">
        <v>306</v>
      </c>
      <c r="E149" s="649" t="s">
        <v>1211</v>
      </c>
      <c r="F149" s="870" t="s">
        <v>969</v>
      </c>
      <c r="G149" s="735"/>
      <c r="H149" s="484"/>
      <c r="I149" s="441"/>
      <c r="J149" s="484">
        <f>J144+J145+J146+J147</f>
        <v>5000000</v>
      </c>
      <c r="K149" s="874"/>
      <c r="L149" s="874"/>
      <c r="M149" s="874"/>
      <c r="N149" s="874"/>
      <c r="O149" s="874"/>
      <c r="P149" s="874"/>
      <c r="Q149" s="874"/>
      <c r="R149" s="874"/>
      <c r="S149" s="874"/>
      <c r="T149" s="874"/>
      <c r="U149" s="874"/>
      <c r="V149" s="874"/>
      <c r="W149" s="874"/>
      <c r="X149" s="874"/>
      <c r="Y149" s="874"/>
      <c r="Z149" s="874"/>
      <c r="AA149" s="874"/>
    </row>
    <row r="150" spans="1:27" x14ac:dyDescent="0.25">
      <c r="A150" s="813"/>
      <c r="B150" s="870"/>
      <c r="C150" s="66" t="s">
        <v>306</v>
      </c>
      <c r="D150" s="774" t="s">
        <v>306</v>
      </c>
      <c r="E150" s="649" t="s">
        <v>581</v>
      </c>
      <c r="F150" s="870" t="s">
        <v>892</v>
      </c>
      <c r="G150" s="694">
        <f>'Hệ số'!D5</f>
        <v>6.2E-2</v>
      </c>
      <c r="H150" s="484"/>
      <c r="I150" s="441"/>
      <c r="J150" s="484">
        <f>(J149)*G150</f>
        <v>310000</v>
      </c>
      <c r="K150" s="874"/>
      <c r="L150" s="874"/>
      <c r="M150" s="874"/>
      <c r="N150" s="874"/>
      <c r="O150" s="874"/>
      <c r="P150" s="874"/>
      <c r="Q150" s="874"/>
      <c r="R150" s="874"/>
      <c r="S150" s="874"/>
      <c r="T150" s="874"/>
      <c r="U150" s="874"/>
      <c r="V150" s="874"/>
      <c r="W150" s="874"/>
      <c r="X150" s="874"/>
      <c r="Y150" s="874"/>
      <c r="Z150" s="874"/>
      <c r="AA150" s="874"/>
    </row>
    <row r="151" spans="1:27" x14ac:dyDescent="0.25">
      <c r="A151" s="813"/>
      <c r="B151" s="870"/>
      <c r="C151" s="66" t="s">
        <v>306</v>
      </c>
      <c r="D151" s="774" t="s">
        <v>306</v>
      </c>
      <c r="E151" s="649" t="s">
        <v>634</v>
      </c>
      <c r="F151" s="870" t="s">
        <v>997</v>
      </c>
      <c r="G151" s="694">
        <f>'Hệ số'!D11</f>
        <v>1.1000000000000001E-2</v>
      </c>
      <c r="H151" s="484"/>
      <c r="I151" s="441"/>
      <c r="J151" s="484">
        <f>(J149)*G151</f>
        <v>55000.000000000007</v>
      </c>
      <c r="K151" s="874"/>
      <c r="L151" s="874"/>
      <c r="M151" s="874"/>
      <c r="N151" s="874"/>
      <c r="O151" s="874"/>
      <c r="P151" s="874"/>
      <c r="Q151" s="874"/>
      <c r="R151" s="874"/>
      <c r="S151" s="874"/>
      <c r="T151" s="874"/>
      <c r="U151" s="874"/>
      <c r="V151" s="874"/>
      <c r="W151" s="874"/>
      <c r="X151" s="874"/>
      <c r="Y151" s="874"/>
      <c r="Z151" s="874"/>
      <c r="AA151" s="874"/>
    </row>
    <row r="152" spans="1:27" ht="30" x14ac:dyDescent="0.25">
      <c r="A152" s="813"/>
      <c r="B152" s="870"/>
      <c r="C152" s="66" t="s">
        <v>306</v>
      </c>
      <c r="D152" s="774" t="s">
        <v>306</v>
      </c>
      <c r="E152" s="649" t="s">
        <v>51</v>
      </c>
      <c r="F152" s="870" t="s">
        <v>172</v>
      </c>
      <c r="G152" s="319">
        <f>'Hệ số'!D8</f>
        <v>0.02</v>
      </c>
      <c r="H152" s="484"/>
      <c r="I152" s="441"/>
      <c r="J152" s="484">
        <f>(J149)*G152</f>
        <v>100000</v>
      </c>
      <c r="K152" s="874"/>
      <c r="L152" s="874"/>
      <c r="M152" s="874"/>
      <c r="N152" s="874"/>
      <c r="O152" s="874"/>
      <c r="P152" s="874"/>
      <c r="Q152" s="874"/>
      <c r="R152" s="874"/>
      <c r="S152" s="874"/>
      <c r="T152" s="874"/>
      <c r="U152" s="874"/>
      <c r="V152" s="874"/>
      <c r="W152" s="874"/>
      <c r="X152" s="874"/>
      <c r="Y152" s="874"/>
      <c r="Z152" s="874"/>
      <c r="AA152" s="874"/>
    </row>
    <row r="153" spans="1:27" x14ac:dyDescent="0.25">
      <c r="A153" s="813"/>
      <c r="B153" s="870"/>
      <c r="C153" s="66" t="s">
        <v>306</v>
      </c>
      <c r="D153" s="774" t="s">
        <v>306</v>
      </c>
      <c r="E153" s="649" t="s">
        <v>4</v>
      </c>
      <c r="F153" s="870" t="s">
        <v>1074</v>
      </c>
      <c r="G153" s="735"/>
      <c r="H153" s="484"/>
      <c r="I153" s="441"/>
      <c r="J153" s="484">
        <f>J150+J151+J152</f>
        <v>465000</v>
      </c>
      <c r="K153" s="874"/>
      <c r="L153" s="874"/>
      <c r="M153" s="874"/>
      <c r="N153" s="874"/>
      <c r="O153" s="874"/>
      <c r="P153" s="874"/>
      <c r="Q153" s="874"/>
      <c r="R153" s="874"/>
      <c r="S153" s="874"/>
      <c r="T153" s="874"/>
      <c r="U153" s="874"/>
      <c r="V153" s="874"/>
      <c r="W153" s="874"/>
      <c r="X153" s="874"/>
      <c r="Y153" s="874"/>
      <c r="Z153" s="874"/>
      <c r="AA153" s="874"/>
    </row>
    <row r="154" spans="1:27" ht="30" x14ac:dyDescent="0.25">
      <c r="A154" s="813"/>
      <c r="B154" s="870"/>
      <c r="C154" s="66" t="s">
        <v>306</v>
      </c>
      <c r="D154" s="774" t="s">
        <v>306</v>
      </c>
      <c r="E154" s="649" t="s">
        <v>926</v>
      </c>
      <c r="F154" s="870" t="s">
        <v>877</v>
      </c>
      <c r="G154" s="319">
        <f>'Hệ số'!D15</f>
        <v>0.06</v>
      </c>
      <c r="H154" s="484"/>
      <c r="I154" s="441"/>
      <c r="J154" s="484">
        <f>(J149+J153)*G154</f>
        <v>327900</v>
      </c>
      <c r="K154" s="874"/>
      <c r="L154" s="874"/>
      <c r="M154" s="874"/>
      <c r="N154" s="874"/>
      <c r="O154" s="874"/>
      <c r="P154" s="874"/>
      <c r="Q154" s="874"/>
      <c r="R154" s="874"/>
      <c r="S154" s="874"/>
      <c r="T154" s="874"/>
      <c r="U154" s="874"/>
      <c r="V154" s="874"/>
      <c r="W154" s="874"/>
      <c r="X154" s="874"/>
      <c r="Y154" s="874"/>
      <c r="Z154" s="874"/>
      <c r="AA154" s="874"/>
    </row>
    <row r="155" spans="1:27" x14ac:dyDescent="0.25">
      <c r="A155" s="813"/>
      <c r="B155" s="870"/>
      <c r="C155" s="66" t="s">
        <v>306</v>
      </c>
      <c r="D155" s="774" t="s">
        <v>306</v>
      </c>
      <c r="E155" s="421" t="s">
        <v>699</v>
      </c>
      <c r="F155" s="143" t="s">
        <v>516</v>
      </c>
      <c r="G155" s="735"/>
      <c r="H155" s="484"/>
      <c r="I155" s="441"/>
      <c r="J155" s="270">
        <f>J149+J153+J154</f>
        <v>5792900</v>
      </c>
      <c r="K155" s="874"/>
      <c r="L155" s="874"/>
      <c r="M155" s="874"/>
      <c r="N155" s="874"/>
      <c r="O155" s="874"/>
      <c r="P155" s="874"/>
      <c r="Q155" s="874"/>
      <c r="R155" s="874"/>
      <c r="S155" s="874"/>
      <c r="T155" s="874"/>
      <c r="U155" s="874"/>
      <c r="V155" s="874"/>
      <c r="W155" s="874"/>
      <c r="X155" s="874"/>
      <c r="Y155" s="874"/>
      <c r="Z155" s="874"/>
      <c r="AA155" s="874"/>
    </row>
    <row r="156" spans="1:27" x14ac:dyDescent="0.25">
      <c r="A156" s="813"/>
      <c r="B156" s="870"/>
      <c r="C156" s="66" t="s">
        <v>306</v>
      </c>
      <c r="D156" s="774" t="s">
        <v>306</v>
      </c>
      <c r="E156" s="649" t="s">
        <v>1117</v>
      </c>
      <c r="F156" s="870" t="s">
        <v>447</v>
      </c>
      <c r="G156" s="319">
        <f>'Hệ số'!D17</f>
        <v>0.08</v>
      </c>
      <c r="H156" s="484"/>
      <c r="I156" s="441"/>
      <c r="J156" s="484">
        <f>(J155)*G156</f>
        <v>463432</v>
      </c>
      <c r="K156" s="874"/>
      <c r="L156" s="874"/>
      <c r="M156" s="874"/>
      <c r="N156" s="874"/>
      <c r="O156" s="874"/>
      <c r="P156" s="874"/>
      <c r="Q156" s="874"/>
      <c r="R156" s="874"/>
      <c r="S156" s="874"/>
      <c r="T156" s="874"/>
      <c r="U156" s="874"/>
      <c r="V156" s="874"/>
      <c r="W156" s="874"/>
      <c r="X156" s="874"/>
      <c r="Y156" s="874"/>
      <c r="Z156" s="874"/>
      <c r="AA156" s="874"/>
    </row>
    <row r="157" spans="1:27" x14ac:dyDescent="0.25">
      <c r="A157" s="468"/>
      <c r="B157" s="534"/>
      <c r="C157" s="638" t="s">
        <v>306</v>
      </c>
      <c r="D157" s="420" t="s">
        <v>306</v>
      </c>
      <c r="E157" s="438" t="s">
        <v>1316</v>
      </c>
      <c r="F157" s="698" t="s">
        <v>927</v>
      </c>
      <c r="G157" s="750"/>
      <c r="H157" s="128"/>
      <c r="I157" s="462"/>
      <c r="J157" s="880">
        <f>J155+J156</f>
        <v>6256332</v>
      </c>
      <c r="K157" s="874"/>
      <c r="L157" s="874"/>
      <c r="M157" s="874"/>
      <c r="N157" s="874"/>
      <c r="O157" s="874"/>
      <c r="P157" s="874"/>
      <c r="Q157" s="874"/>
      <c r="R157" s="874"/>
      <c r="S157" s="874"/>
      <c r="T157" s="874"/>
      <c r="U157" s="874"/>
      <c r="V157" s="874"/>
      <c r="W157" s="874"/>
      <c r="X157" s="874"/>
      <c r="Y157" s="874"/>
      <c r="Z157" s="874"/>
      <c r="AA157" s="874"/>
    </row>
    <row r="158" spans="1:27" ht="30" x14ac:dyDescent="0.25">
      <c r="A158" s="895"/>
      <c r="B158" s="58">
        <v>11</v>
      </c>
      <c r="C158" s="137" t="str">
        <f>'Tiên lượng'!C23</f>
        <v>TT</v>
      </c>
      <c r="D158" s="137" t="str">
        <f>'Tiên lượng'!C23</f>
        <v>TT</v>
      </c>
      <c r="E158" s="693" t="str">
        <f>'Tiên lượng'!D23</f>
        <v>Công tác đào rãnh, hố ga để đặt cống thoát nước đầu tuyến bằng thủ công</v>
      </c>
      <c r="F158" s="58" t="str">
        <f>'Tiên lượng'!E23</f>
        <v>công</v>
      </c>
      <c r="G158" s="254"/>
      <c r="H158" s="194"/>
      <c r="I158" s="527"/>
      <c r="J158" s="194"/>
      <c r="K158" s="874"/>
      <c r="L158" s="874"/>
      <c r="M158" s="874"/>
      <c r="N158" s="874"/>
      <c r="O158" s="874"/>
      <c r="P158" s="874"/>
      <c r="Q158" s="874"/>
      <c r="R158" s="874"/>
      <c r="S158" s="874"/>
      <c r="T158" s="874"/>
      <c r="U158" s="874"/>
      <c r="V158" s="874"/>
      <c r="W158" s="874"/>
      <c r="X158" s="874"/>
      <c r="Y158" s="874"/>
      <c r="Z158" s="874"/>
      <c r="AA158" s="874"/>
    </row>
    <row r="159" spans="1:27" x14ac:dyDescent="0.25">
      <c r="A159" s="129"/>
      <c r="B159" s="198"/>
      <c r="C159" s="810" t="s">
        <v>306</v>
      </c>
      <c r="D159" s="810" t="s">
        <v>306</v>
      </c>
      <c r="E159" s="473" t="s">
        <v>176</v>
      </c>
      <c r="F159" s="198" t="s">
        <v>479</v>
      </c>
      <c r="G159" s="32"/>
      <c r="H159" s="333"/>
      <c r="I159" s="671"/>
      <c r="J159" s="333">
        <v>0</v>
      </c>
      <c r="K159" s="874"/>
      <c r="L159" s="874"/>
      <c r="M159" s="874"/>
      <c r="N159" s="874"/>
      <c r="O159" s="874"/>
      <c r="P159" s="874"/>
      <c r="Q159" s="874"/>
      <c r="R159" s="874"/>
      <c r="S159" s="874"/>
      <c r="T159" s="874"/>
      <c r="U159" s="874"/>
      <c r="V159" s="874"/>
      <c r="W159" s="874"/>
      <c r="X159" s="874"/>
      <c r="Y159" s="874"/>
      <c r="Z159" s="874"/>
      <c r="AA159" s="874"/>
    </row>
    <row r="160" spans="1:27" x14ac:dyDescent="0.25">
      <c r="A160" s="129"/>
      <c r="B160" s="198"/>
      <c r="C160" s="810" t="s">
        <v>306</v>
      </c>
      <c r="D160" s="810" t="s">
        <v>306</v>
      </c>
      <c r="E160" s="473" t="s">
        <v>740</v>
      </c>
      <c r="F160" s="198" t="s">
        <v>836</v>
      </c>
      <c r="G160" s="32"/>
      <c r="H160" s="333"/>
      <c r="I160" s="671"/>
      <c r="J160" s="333">
        <v>0</v>
      </c>
      <c r="K160" s="874"/>
      <c r="L160" s="874"/>
      <c r="M160" s="874"/>
      <c r="N160" s="874"/>
      <c r="O160" s="874"/>
      <c r="P160" s="874"/>
      <c r="Q160" s="874"/>
      <c r="R160" s="874"/>
      <c r="S160" s="874"/>
      <c r="T160" s="874"/>
      <c r="U160" s="874"/>
      <c r="V160" s="874"/>
      <c r="W160" s="874"/>
      <c r="X160" s="874"/>
      <c r="Y160" s="874"/>
      <c r="Z160" s="874"/>
      <c r="AA160" s="874"/>
    </row>
    <row r="161" spans="1:27" x14ac:dyDescent="0.25">
      <c r="A161" s="129"/>
      <c r="B161" s="198"/>
      <c r="C161" s="810" t="s">
        <v>306</v>
      </c>
      <c r="D161" s="810" t="s">
        <v>306</v>
      </c>
      <c r="E161" s="473" t="s">
        <v>890</v>
      </c>
      <c r="F161" s="198" t="s">
        <v>125</v>
      </c>
      <c r="G161" s="32"/>
      <c r="H161" s="333"/>
      <c r="I161" s="671"/>
      <c r="J161" s="333">
        <f>SUM(J162:J162)</f>
        <v>450000</v>
      </c>
      <c r="K161" s="874"/>
      <c r="L161" s="874"/>
      <c r="M161" s="874"/>
      <c r="N161" s="874"/>
      <c r="O161" s="874"/>
      <c r="P161" s="874"/>
      <c r="Q161" s="874"/>
      <c r="R161" s="874"/>
      <c r="S161" s="874"/>
      <c r="T161" s="874"/>
      <c r="U161" s="874"/>
      <c r="V161" s="874"/>
      <c r="W161" s="874"/>
      <c r="X161" s="874"/>
      <c r="Y161" s="874"/>
      <c r="Z161" s="874"/>
      <c r="AA161" s="874"/>
    </row>
    <row r="162" spans="1:27" x14ac:dyDescent="0.25">
      <c r="A162" s="813"/>
      <c r="B162" s="870"/>
      <c r="C162" s="66" t="s">
        <v>306</v>
      </c>
      <c r="D162" s="774" t="s">
        <v>306</v>
      </c>
      <c r="E162" s="649" t="s">
        <v>663</v>
      </c>
      <c r="F162" s="870" t="s">
        <v>239</v>
      </c>
      <c r="G162" s="725">
        <f>PTVT!G67</f>
        <v>1</v>
      </c>
      <c r="H162" s="484">
        <f>'Tiên lượng'!P23</f>
        <v>450000</v>
      </c>
      <c r="I162" s="441"/>
      <c r="J162" s="484">
        <f>PRODUCT(G162,H162,I162)</f>
        <v>450000</v>
      </c>
      <c r="K162" s="874"/>
      <c r="L162" s="874"/>
      <c r="M162" s="874"/>
      <c r="N162" s="874"/>
      <c r="O162" s="874"/>
      <c r="P162" s="874"/>
      <c r="Q162" s="874"/>
      <c r="R162" s="874"/>
      <c r="S162" s="874"/>
      <c r="T162" s="874"/>
      <c r="U162" s="874"/>
      <c r="V162" s="874"/>
      <c r="W162" s="874"/>
      <c r="X162" s="874"/>
      <c r="Y162" s="874"/>
      <c r="Z162" s="874"/>
      <c r="AA162" s="874"/>
    </row>
    <row r="163" spans="1:27" x14ac:dyDescent="0.25">
      <c r="A163" s="129"/>
      <c r="B163" s="198"/>
      <c r="C163" s="810" t="s">
        <v>306</v>
      </c>
      <c r="D163" s="810" t="s">
        <v>306</v>
      </c>
      <c r="E163" s="473" t="s">
        <v>556</v>
      </c>
      <c r="F163" s="198" t="s">
        <v>539</v>
      </c>
      <c r="G163" s="32"/>
      <c r="H163" s="333"/>
      <c r="I163" s="671"/>
      <c r="J163" s="333">
        <v>0</v>
      </c>
      <c r="K163" s="874"/>
      <c r="L163" s="874"/>
      <c r="M163" s="874"/>
      <c r="N163" s="874"/>
      <c r="O163" s="874"/>
      <c r="P163" s="874"/>
      <c r="Q163" s="874"/>
      <c r="R163" s="874"/>
      <c r="S163" s="874"/>
      <c r="T163" s="874"/>
      <c r="U163" s="874"/>
      <c r="V163" s="874"/>
      <c r="W163" s="874"/>
      <c r="X163" s="874"/>
      <c r="Y163" s="874"/>
      <c r="Z163" s="874"/>
      <c r="AA163" s="874"/>
    </row>
    <row r="164" spans="1:27" x14ac:dyDescent="0.25">
      <c r="A164" s="813"/>
      <c r="B164" s="870"/>
      <c r="C164" s="66" t="s">
        <v>306</v>
      </c>
      <c r="D164" s="774" t="s">
        <v>306</v>
      </c>
      <c r="E164" s="649" t="s">
        <v>1211</v>
      </c>
      <c r="F164" s="870" t="s">
        <v>969</v>
      </c>
      <c r="G164" s="735"/>
      <c r="H164" s="484"/>
      <c r="I164" s="441"/>
      <c r="J164" s="484">
        <f>J159+J160+J161+J163</f>
        <v>450000</v>
      </c>
      <c r="K164" s="874"/>
      <c r="L164" s="874"/>
      <c r="M164" s="874"/>
      <c r="N164" s="874"/>
      <c r="O164" s="874"/>
      <c r="P164" s="874"/>
      <c r="Q164" s="874"/>
      <c r="R164" s="874"/>
      <c r="S164" s="874"/>
      <c r="T164" s="874"/>
      <c r="U164" s="874"/>
      <c r="V164" s="874"/>
      <c r="W164" s="874"/>
      <c r="X164" s="874"/>
      <c r="Y164" s="874"/>
      <c r="Z164" s="874"/>
      <c r="AA164" s="874"/>
    </row>
    <row r="165" spans="1:27" x14ac:dyDescent="0.25">
      <c r="A165" s="813"/>
      <c r="B165" s="870"/>
      <c r="C165" s="66" t="s">
        <v>306</v>
      </c>
      <c r="D165" s="774" t="s">
        <v>306</v>
      </c>
      <c r="E165" s="649" t="s">
        <v>581</v>
      </c>
      <c r="F165" s="870" t="s">
        <v>892</v>
      </c>
      <c r="G165" s="694">
        <f>'Hệ số'!D5</f>
        <v>6.2E-2</v>
      </c>
      <c r="H165" s="484"/>
      <c r="I165" s="441"/>
      <c r="J165" s="484">
        <f>(J164)*G165</f>
        <v>27900</v>
      </c>
      <c r="K165" s="874"/>
      <c r="L165" s="874"/>
      <c r="M165" s="874"/>
      <c r="N165" s="874"/>
      <c r="O165" s="874"/>
      <c r="P165" s="874"/>
      <c r="Q165" s="874"/>
      <c r="R165" s="874"/>
      <c r="S165" s="874"/>
      <c r="T165" s="874"/>
      <c r="U165" s="874"/>
      <c r="V165" s="874"/>
      <c r="W165" s="874"/>
      <c r="X165" s="874"/>
      <c r="Y165" s="874"/>
      <c r="Z165" s="874"/>
      <c r="AA165" s="874"/>
    </row>
    <row r="166" spans="1:27" x14ac:dyDescent="0.25">
      <c r="A166" s="813"/>
      <c r="B166" s="870"/>
      <c r="C166" s="66" t="s">
        <v>306</v>
      </c>
      <c r="D166" s="774" t="s">
        <v>306</v>
      </c>
      <c r="E166" s="649" t="s">
        <v>634</v>
      </c>
      <c r="F166" s="870" t="s">
        <v>997</v>
      </c>
      <c r="G166" s="694">
        <f>'Hệ số'!D11</f>
        <v>1.1000000000000001E-2</v>
      </c>
      <c r="H166" s="484"/>
      <c r="I166" s="441"/>
      <c r="J166" s="484">
        <f>(J164)*G166</f>
        <v>4950.0000000000009</v>
      </c>
      <c r="K166" s="874"/>
      <c r="L166" s="874"/>
      <c r="M166" s="874"/>
      <c r="N166" s="874"/>
      <c r="O166" s="874"/>
      <c r="P166" s="874"/>
      <c r="Q166" s="874"/>
      <c r="R166" s="874"/>
      <c r="S166" s="874"/>
      <c r="T166" s="874"/>
      <c r="U166" s="874"/>
      <c r="V166" s="874"/>
      <c r="W166" s="874"/>
      <c r="X166" s="874"/>
      <c r="Y166" s="874"/>
      <c r="Z166" s="874"/>
      <c r="AA166" s="874"/>
    </row>
    <row r="167" spans="1:27" ht="30" x14ac:dyDescent="0.25">
      <c r="A167" s="813"/>
      <c r="B167" s="870"/>
      <c r="C167" s="66" t="s">
        <v>306</v>
      </c>
      <c r="D167" s="774" t="s">
        <v>306</v>
      </c>
      <c r="E167" s="649" t="s">
        <v>51</v>
      </c>
      <c r="F167" s="870" t="s">
        <v>172</v>
      </c>
      <c r="G167" s="319">
        <f>'Hệ số'!D8</f>
        <v>0.02</v>
      </c>
      <c r="H167" s="484"/>
      <c r="I167" s="441"/>
      <c r="J167" s="484">
        <f>(J164)*G167</f>
        <v>9000</v>
      </c>
      <c r="K167" s="874"/>
      <c r="L167" s="874"/>
      <c r="M167" s="874"/>
      <c r="N167" s="874"/>
      <c r="O167" s="874"/>
      <c r="P167" s="874"/>
      <c r="Q167" s="874"/>
      <c r="R167" s="874"/>
      <c r="S167" s="874"/>
      <c r="T167" s="874"/>
      <c r="U167" s="874"/>
      <c r="V167" s="874"/>
      <c r="W167" s="874"/>
      <c r="X167" s="874"/>
      <c r="Y167" s="874"/>
      <c r="Z167" s="874"/>
      <c r="AA167" s="874"/>
    </row>
    <row r="168" spans="1:27" x14ac:dyDescent="0.25">
      <c r="A168" s="813"/>
      <c r="B168" s="870"/>
      <c r="C168" s="66" t="s">
        <v>306</v>
      </c>
      <c r="D168" s="774" t="s">
        <v>306</v>
      </c>
      <c r="E168" s="649" t="s">
        <v>4</v>
      </c>
      <c r="F168" s="870" t="s">
        <v>1074</v>
      </c>
      <c r="G168" s="735"/>
      <c r="H168" s="484"/>
      <c r="I168" s="441"/>
      <c r="J168" s="484">
        <f>J165+J166+J167</f>
        <v>41850</v>
      </c>
      <c r="K168" s="874"/>
      <c r="L168" s="874"/>
      <c r="M168" s="874"/>
      <c r="N168" s="874"/>
      <c r="O168" s="874"/>
      <c r="P168" s="874"/>
      <c r="Q168" s="874"/>
      <c r="R168" s="874"/>
      <c r="S168" s="874"/>
      <c r="T168" s="874"/>
      <c r="U168" s="874"/>
      <c r="V168" s="874"/>
      <c r="W168" s="874"/>
      <c r="X168" s="874"/>
      <c r="Y168" s="874"/>
      <c r="Z168" s="874"/>
      <c r="AA168" s="874"/>
    </row>
    <row r="169" spans="1:27" ht="30" x14ac:dyDescent="0.25">
      <c r="A169" s="813"/>
      <c r="B169" s="870"/>
      <c r="C169" s="66" t="s">
        <v>306</v>
      </c>
      <c r="D169" s="774" t="s">
        <v>306</v>
      </c>
      <c r="E169" s="649" t="s">
        <v>926</v>
      </c>
      <c r="F169" s="870" t="s">
        <v>877</v>
      </c>
      <c r="G169" s="319">
        <f>'Hệ số'!D15</f>
        <v>0.06</v>
      </c>
      <c r="H169" s="484"/>
      <c r="I169" s="441"/>
      <c r="J169" s="484">
        <f>(J164+J168)*G169</f>
        <v>29511</v>
      </c>
      <c r="K169" s="874"/>
      <c r="L169" s="874"/>
      <c r="M169" s="874"/>
      <c r="N169" s="874"/>
      <c r="O169" s="874"/>
      <c r="P169" s="874"/>
      <c r="Q169" s="874"/>
      <c r="R169" s="874"/>
      <c r="S169" s="874"/>
      <c r="T169" s="874"/>
      <c r="U169" s="874"/>
      <c r="V169" s="874"/>
      <c r="W169" s="874"/>
      <c r="X169" s="874"/>
      <c r="Y169" s="874"/>
      <c r="Z169" s="874"/>
      <c r="AA169" s="874"/>
    </row>
    <row r="170" spans="1:27" x14ac:dyDescent="0.25">
      <c r="A170" s="813"/>
      <c r="B170" s="870"/>
      <c r="C170" s="66" t="s">
        <v>306</v>
      </c>
      <c r="D170" s="774" t="s">
        <v>306</v>
      </c>
      <c r="E170" s="421" t="s">
        <v>699</v>
      </c>
      <c r="F170" s="143" t="s">
        <v>516</v>
      </c>
      <c r="G170" s="735"/>
      <c r="H170" s="484"/>
      <c r="I170" s="441"/>
      <c r="J170" s="270">
        <f>J164+J168+J169</f>
        <v>521361</v>
      </c>
      <c r="K170" s="874"/>
      <c r="L170" s="874"/>
      <c r="M170" s="874"/>
      <c r="N170" s="874"/>
      <c r="O170" s="874"/>
      <c r="P170" s="874"/>
      <c r="Q170" s="874"/>
      <c r="R170" s="874"/>
      <c r="S170" s="874"/>
      <c r="T170" s="874"/>
      <c r="U170" s="874"/>
      <c r="V170" s="874"/>
      <c r="W170" s="874"/>
      <c r="X170" s="874"/>
      <c r="Y170" s="874"/>
      <c r="Z170" s="874"/>
      <c r="AA170" s="874"/>
    </row>
    <row r="171" spans="1:27" x14ac:dyDescent="0.25">
      <c r="A171" s="813"/>
      <c r="B171" s="870"/>
      <c r="C171" s="66" t="s">
        <v>306</v>
      </c>
      <c r="D171" s="774" t="s">
        <v>306</v>
      </c>
      <c r="E171" s="649" t="s">
        <v>1117</v>
      </c>
      <c r="F171" s="870" t="s">
        <v>447</v>
      </c>
      <c r="G171" s="319">
        <f>'Hệ số'!D17</f>
        <v>0.08</v>
      </c>
      <c r="H171" s="484"/>
      <c r="I171" s="441"/>
      <c r="J171" s="484">
        <f>(J170)*G171</f>
        <v>41708.879999999997</v>
      </c>
      <c r="K171" s="874"/>
      <c r="L171" s="874"/>
      <c r="M171" s="874"/>
      <c r="N171" s="874"/>
      <c r="O171" s="874"/>
      <c r="P171" s="874"/>
      <c r="Q171" s="874"/>
      <c r="R171" s="874"/>
      <c r="S171" s="874"/>
      <c r="T171" s="874"/>
      <c r="U171" s="874"/>
      <c r="V171" s="874"/>
      <c r="W171" s="874"/>
      <c r="X171" s="874"/>
      <c r="Y171" s="874"/>
      <c r="Z171" s="874"/>
      <c r="AA171" s="874"/>
    </row>
    <row r="172" spans="1:27" x14ac:dyDescent="0.25">
      <c r="A172" s="468"/>
      <c r="B172" s="534"/>
      <c r="C172" s="638" t="s">
        <v>306</v>
      </c>
      <c r="D172" s="420" t="s">
        <v>306</v>
      </c>
      <c r="E172" s="438" t="s">
        <v>1316</v>
      </c>
      <c r="F172" s="698" t="s">
        <v>927</v>
      </c>
      <c r="G172" s="750"/>
      <c r="H172" s="128"/>
      <c r="I172" s="462"/>
      <c r="J172" s="880">
        <f>J170+J171</f>
        <v>563069.88</v>
      </c>
      <c r="K172" s="874"/>
      <c r="L172" s="874"/>
      <c r="M172" s="874"/>
      <c r="N172" s="874"/>
      <c r="O172" s="874"/>
      <c r="P172" s="874"/>
      <c r="Q172" s="874"/>
      <c r="R172" s="874"/>
      <c r="S172" s="874"/>
      <c r="T172" s="874"/>
      <c r="U172" s="874"/>
      <c r="V172" s="874"/>
      <c r="W172" s="874"/>
      <c r="X172" s="874"/>
      <c r="Y172" s="874"/>
      <c r="Z172" s="874"/>
      <c r="AA172" s="874"/>
    </row>
    <row r="173" spans="1:27" ht="30" x14ac:dyDescent="0.25">
      <c r="A173" s="895"/>
      <c r="B173" s="58">
        <v>12</v>
      </c>
      <c r="C173" s="137" t="str">
        <f>'Tiên lượng'!C24</f>
        <v>BB.11211</v>
      </c>
      <c r="D173" s="137" t="str">
        <f>'Tiên lượng'!C24</f>
        <v>BB.11211</v>
      </c>
      <c r="E173" s="693" t="str">
        <f>'Tiên lượng'!D24</f>
        <v>Lắp đặt ống bê tông bằng cần cẩu, đoạn ống dài 1m - Đường kính ≤600mm</v>
      </c>
      <c r="F173" s="58" t="str">
        <f>'Tiên lượng'!E24</f>
        <v>1 đoạn ống</v>
      </c>
      <c r="G173" s="254"/>
      <c r="H173" s="194"/>
      <c r="I173" s="527"/>
      <c r="J173" s="194"/>
      <c r="K173" s="874"/>
      <c r="L173" s="874"/>
      <c r="M173" s="874"/>
      <c r="N173" s="874"/>
      <c r="O173" s="874"/>
      <c r="P173" s="874"/>
      <c r="Q173" s="874"/>
      <c r="R173" s="874"/>
      <c r="S173" s="874"/>
      <c r="T173" s="874"/>
      <c r="U173" s="874"/>
      <c r="V173" s="874"/>
      <c r="W173" s="874"/>
      <c r="X173" s="874"/>
      <c r="Y173" s="874"/>
      <c r="Z173" s="874"/>
      <c r="AA173" s="874"/>
    </row>
    <row r="174" spans="1:27" x14ac:dyDescent="0.25">
      <c r="A174" s="129"/>
      <c r="B174" s="198"/>
      <c r="C174" s="810" t="s">
        <v>306</v>
      </c>
      <c r="D174" s="810" t="s">
        <v>306</v>
      </c>
      <c r="E174" s="473" t="s">
        <v>1372</v>
      </c>
      <c r="F174" s="198" t="s">
        <v>479</v>
      </c>
      <c r="G174" s="32"/>
      <c r="H174" s="333"/>
      <c r="I174" s="671"/>
      <c r="J174" s="333">
        <f>SUM(J175:J176)</f>
        <v>1050525</v>
      </c>
      <c r="K174" s="874"/>
      <c r="L174" s="874"/>
      <c r="M174" s="874"/>
      <c r="N174" s="874"/>
      <c r="O174" s="874"/>
      <c r="P174" s="874"/>
      <c r="Q174" s="874"/>
      <c r="R174" s="874"/>
      <c r="S174" s="874"/>
      <c r="T174" s="874"/>
      <c r="U174" s="874"/>
      <c r="V174" s="874"/>
      <c r="W174" s="874"/>
      <c r="X174" s="874"/>
      <c r="Y174" s="874"/>
      <c r="Z174" s="874"/>
      <c r="AA174" s="874"/>
    </row>
    <row r="175" spans="1:27" x14ac:dyDescent="0.25">
      <c r="A175" s="813"/>
      <c r="B175" s="870"/>
      <c r="C175" s="66" t="s">
        <v>306</v>
      </c>
      <c r="D175" s="774" t="s">
        <v>258</v>
      </c>
      <c r="E175" s="649" t="str">
        <f>" - " &amp; 'Giá VL'!E5</f>
        <v xml:space="preserve"> - Ống bê tông D ≤600mm, L=1m</v>
      </c>
      <c r="F175" s="870" t="str">
        <f>'Giá VL'!F5</f>
        <v>đoạn</v>
      </c>
      <c r="G175" s="725">
        <f>PTVT!G72</f>
        <v>1</v>
      </c>
      <c r="H175" s="484">
        <f>'Giá VL'!V5</f>
        <v>1050000</v>
      </c>
      <c r="I175" s="441">
        <f>'Tiên lượng'!V24</f>
        <v>1</v>
      </c>
      <c r="J175" s="484">
        <f t="shared" ref="J175:J176" si="2">PRODUCT(G175,H175,I175)</f>
        <v>1050000</v>
      </c>
      <c r="K175" s="874"/>
      <c r="L175" s="874"/>
      <c r="M175" s="874"/>
      <c r="N175" s="874"/>
      <c r="O175" s="874"/>
      <c r="P175" s="874"/>
      <c r="Q175" s="874"/>
      <c r="R175" s="874"/>
      <c r="S175" s="874"/>
      <c r="T175" s="874"/>
      <c r="U175" s="874"/>
      <c r="V175" s="874"/>
      <c r="W175" s="874"/>
      <c r="X175" s="874"/>
      <c r="Y175" s="874"/>
      <c r="Z175" s="874"/>
      <c r="AA175" s="874"/>
    </row>
    <row r="176" spans="1:27" x14ac:dyDescent="0.25">
      <c r="A176" s="813"/>
      <c r="B176" s="870"/>
      <c r="C176" s="66" t="s">
        <v>306</v>
      </c>
      <c r="D176" s="774" t="s">
        <v>429</v>
      </c>
      <c r="E176" s="649" t="s">
        <v>506</v>
      </c>
      <c r="F176" s="870" t="s">
        <v>1086</v>
      </c>
      <c r="G176" s="725">
        <f>PTVT!G73</f>
        <v>0.05</v>
      </c>
      <c r="H176" s="484">
        <f>IF('Tiên lượng'!V24&lt;&gt;0,SUM(J175:J175)/100/'Tiên lượng'!V24,0)</f>
        <v>10500</v>
      </c>
      <c r="I176" s="441">
        <f>'Tiên lượng'!V24</f>
        <v>1</v>
      </c>
      <c r="J176" s="484">
        <f t="shared" si="2"/>
        <v>525</v>
      </c>
      <c r="K176" s="874"/>
      <c r="L176" s="874"/>
      <c r="M176" s="874"/>
      <c r="N176" s="874"/>
      <c r="O176" s="874"/>
      <c r="P176" s="874"/>
      <c r="Q176" s="874"/>
      <c r="R176" s="874"/>
      <c r="S176" s="874"/>
      <c r="T176" s="874"/>
      <c r="U176" s="874"/>
      <c r="V176" s="874"/>
      <c r="W176" s="874"/>
      <c r="X176" s="874"/>
      <c r="Y176" s="874"/>
      <c r="Z176" s="874"/>
      <c r="AA176" s="874"/>
    </row>
    <row r="177" spans="1:27" x14ac:dyDescent="0.25">
      <c r="A177" s="129"/>
      <c r="B177" s="198"/>
      <c r="C177" s="810" t="s">
        <v>306</v>
      </c>
      <c r="D177" s="810" t="s">
        <v>306</v>
      </c>
      <c r="E177" s="473" t="s">
        <v>890</v>
      </c>
      <c r="F177" s="198" t="s">
        <v>125</v>
      </c>
      <c r="G177" s="32"/>
      <c r="H177" s="333"/>
      <c r="I177" s="671"/>
      <c r="J177" s="333">
        <f>SUM(J178:J178)</f>
        <v>70200</v>
      </c>
      <c r="K177" s="874"/>
      <c r="L177" s="874"/>
      <c r="M177" s="874"/>
      <c r="N177" s="874"/>
      <c r="O177" s="874"/>
      <c r="P177" s="874"/>
      <c r="Q177" s="874"/>
      <c r="R177" s="874"/>
      <c r="S177" s="874"/>
      <c r="T177" s="874"/>
      <c r="U177" s="874"/>
      <c r="V177" s="874"/>
      <c r="W177" s="874"/>
      <c r="X177" s="874"/>
      <c r="Y177" s="874"/>
      <c r="Z177" s="874"/>
      <c r="AA177" s="874"/>
    </row>
    <row r="178" spans="1:27" x14ac:dyDescent="0.25">
      <c r="A178" s="813"/>
      <c r="B178" s="870"/>
      <c r="C178" s="66" t="s">
        <v>306</v>
      </c>
      <c r="D178" s="774" t="s">
        <v>1055</v>
      </c>
      <c r="E178" s="649" t="str">
        <f>" - " &amp; 'Giá NC'!E7</f>
        <v xml:space="preserve"> - Nhân công bậc 3,5/7 - Nhóm 2</v>
      </c>
      <c r="F178" s="870" t="str">
        <f>'Giá NC'!F7</f>
        <v>công</v>
      </c>
      <c r="G178" s="725">
        <f>PTVT!G75</f>
        <v>0.26</v>
      </c>
      <c r="H178" s="484">
        <f>'Giá NC'!K7</f>
        <v>270000</v>
      </c>
      <c r="I178" s="441">
        <f>'Tiên lượng'!W24</f>
        <v>1</v>
      </c>
      <c r="J178" s="484">
        <f>PRODUCT(G178,H178,I178)</f>
        <v>70200</v>
      </c>
      <c r="K178" s="874"/>
      <c r="L178" s="874"/>
      <c r="M178" s="874"/>
      <c r="N178" s="874"/>
      <c r="O178" s="874"/>
      <c r="P178" s="874"/>
      <c r="Q178" s="874"/>
      <c r="R178" s="874"/>
      <c r="S178" s="874"/>
      <c r="T178" s="874"/>
      <c r="U178" s="874"/>
      <c r="V178" s="874"/>
      <c r="W178" s="874"/>
      <c r="X178" s="874"/>
      <c r="Y178" s="874"/>
      <c r="Z178" s="874"/>
      <c r="AA178" s="874"/>
    </row>
    <row r="179" spans="1:27" x14ac:dyDescent="0.25">
      <c r="A179" s="129"/>
      <c r="B179" s="198"/>
      <c r="C179" s="810" t="s">
        <v>306</v>
      </c>
      <c r="D179" s="810" t="s">
        <v>306</v>
      </c>
      <c r="E179" s="473" t="s">
        <v>556</v>
      </c>
      <c r="F179" s="198" t="s">
        <v>539</v>
      </c>
      <c r="G179" s="32"/>
      <c r="H179" s="333"/>
      <c r="I179" s="671"/>
      <c r="J179" s="333">
        <f>SUM(J180:J181)</f>
        <v>63337.465799999998</v>
      </c>
      <c r="K179" s="874"/>
      <c r="L179" s="874"/>
      <c r="M179" s="874"/>
      <c r="N179" s="874"/>
      <c r="O179" s="874"/>
      <c r="P179" s="874"/>
      <c r="Q179" s="874"/>
      <c r="R179" s="874"/>
      <c r="S179" s="874"/>
      <c r="T179" s="874"/>
      <c r="U179" s="874"/>
      <c r="V179" s="874"/>
      <c r="W179" s="874"/>
      <c r="X179" s="874"/>
      <c r="Y179" s="874"/>
      <c r="Z179" s="874"/>
      <c r="AA179" s="874"/>
    </row>
    <row r="180" spans="1:27" x14ac:dyDescent="0.25">
      <c r="A180" s="813"/>
      <c r="B180" s="870"/>
      <c r="C180" s="66" t="s">
        <v>306</v>
      </c>
      <c r="D180" s="774" t="s">
        <v>701</v>
      </c>
      <c r="E180" s="649" t="str">
        <f>" - " &amp; 'Giá Máy'!E6</f>
        <v xml:space="preserve"> - Cần cẩu bánh hơi 6T</v>
      </c>
      <c r="F180" s="870" t="str">
        <f>'Giá Máy'!F6</f>
        <v>ca</v>
      </c>
      <c r="G180" s="725">
        <f>PTVT!G77</f>
        <v>3.6999999999999998E-2</v>
      </c>
      <c r="H180" s="484">
        <f>'Giá Máy'!O6</f>
        <v>1630308</v>
      </c>
      <c r="I180" s="441">
        <f>'Tiên lượng'!X24</f>
        <v>1</v>
      </c>
      <c r="J180" s="484">
        <f t="shared" ref="J180:J181" si="3">PRODUCT(G180,H180,I180)</f>
        <v>60321.396000000001</v>
      </c>
      <c r="K180" s="874"/>
      <c r="L180" s="874"/>
      <c r="M180" s="874"/>
      <c r="N180" s="874"/>
      <c r="O180" s="874"/>
      <c r="P180" s="874"/>
      <c r="Q180" s="874"/>
      <c r="R180" s="874"/>
      <c r="S180" s="874"/>
      <c r="T180" s="874"/>
      <c r="U180" s="874"/>
      <c r="V180" s="874"/>
      <c r="W180" s="874"/>
      <c r="X180" s="874"/>
      <c r="Y180" s="874"/>
      <c r="Z180" s="874"/>
      <c r="AA180" s="874"/>
    </row>
    <row r="181" spans="1:27" x14ac:dyDescent="0.25">
      <c r="A181" s="813"/>
      <c r="B181" s="870"/>
      <c r="C181" s="66" t="s">
        <v>306</v>
      </c>
      <c r="D181" s="774" t="s">
        <v>760</v>
      </c>
      <c r="E181" s="649" t="s">
        <v>830</v>
      </c>
      <c r="F181" s="870" t="s">
        <v>1086</v>
      </c>
      <c r="G181" s="725">
        <f>PTVT!G78</f>
        <v>5</v>
      </c>
      <c r="H181" s="484">
        <f>IF('Tiên lượng'!X24&lt;&gt;0,SUM(J180:J180)/100/'Tiên lượng'!X24,0)</f>
        <v>603.21396000000004</v>
      </c>
      <c r="I181" s="441">
        <f>'Tiên lượng'!X24</f>
        <v>1</v>
      </c>
      <c r="J181" s="484">
        <f t="shared" si="3"/>
        <v>3016.0698000000002</v>
      </c>
      <c r="K181" s="874"/>
      <c r="L181" s="874"/>
      <c r="M181" s="874"/>
      <c r="N181" s="874"/>
      <c r="O181" s="874"/>
      <c r="P181" s="874"/>
      <c r="Q181" s="874"/>
      <c r="R181" s="874"/>
      <c r="S181" s="874"/>
      <c r="T181" s="874"/>
      <c r="U181" s="874"/>
      <c r="V181" s="874"/>
      <c r="W181" s="874"/>
      <c r="X181" s="874"/>
      <c r="Y181" s="874"/>
      <c r="Z181" s="874"/>
      <c r="AA181" s="874"/>
    </row>
    <row r="182" spans="1:27" x14ac:dyDescent="0.25">
      <c r="A182" s="813"/>
      <c r="B182" s="870"/>
      <c r="C182" s="66" t="s">
        <v>306</v>
      </c>
      <c r="D182" s="774" t="s">
        <v>306</v>
      </c>
      <c r="E182" s="649" t="s">
        <v>1211</v>
      </c>
      <c r="F182" s="870" t="s">
        <v>969</v>
      </c>
      <c r="G182" s="735"/>
      <c r="H182" s="484"/>
      <c r="I182" s="441"/>
      <c r="J182" s="484">
        <f>J174+J177+J179</f>
        <v>1184062.4657999999</v>
      </c>
      <c r="K182" s="874"/>
      <c r="L182" s="874"/>
      <c r="M182" s="874"/>
      <c r="N182" s="874"/>
      <c r="O182" s="874"/>
      <c r="P182" s="874"/>
      <c r="Q182" s="874"/>
      <c r="R182" s="874"/>
      <c r="S182" s="874"/>
      <c r="T182" s="874"/>
      <c r="U182" s="874"/>
      <c r="V182" s="874"/>
      <c r="W182" s="874"/>
      <c r="X182" s="874"/>
      <c r="Y182" s="874"/>
      <c r="Z182" s="874"/>
      <c r="AA182" s="874"/>
    </row>
    <row r="183" spans="1:27" x14ac:dyDescent="0.25">
      <c r="A183" s="813"/>
      <c r="B183" s="870"/>
      <c r="C183" s="66" t="s">
        <v>306</v>
      </c>
      <c r="D183" s="774" t="s">
        <v>306</v>
      </c>
      <c r="E183" s="649" t="s">
        <v>581</v>
      </c>
      <c r="F183" s="870" t="s">
        <v>892</v>
      </c>
      <c r="G183" s="694">
        <f>'Hệ số'!D5</f>
        <v>6.2E-2</v>
      </c>
      <c r="H183" s="484"/>
      <c r="I183" s="441"/>
      <c r="J183" s="484">
        <f>(J182)*G183</f>
        <v>73411.872879599992</v>
      </c>
      <c r="K183" s="874"/>
      <c r="L183" s="874"/>
      <c r="M183" s="874"/>
      <c r="N183" s="874"/>
      <c r="O183" s="874"/>
      <c r="P183" s="874"/>
      <c r="Q183" s="874"/>
      <c r="R183" s="874"/>
      <c r="S183" s="874"/>
      <c r="T183" s="874"/>
      <c r="U183" s="874"/>
      <c r="V183" s="874"/>
      <c r="W183" s="874"/>
      <c r="X183" s="874"/>
      <c r="Y183" s="874"/>
      <c r="Z183" s="874"/>
      <c r="AA183" s="874"/>
    </row>
    <row r="184" spans="1:27" x14ac:dyDescent="0.25">
      <c r="A184" s="813"/>
      <c r="B184" s="870"/>
      <c r="C184" s="66" t="s">
        <v>306</v>
      </c>
      <c r="D184" s="774" t="s">
        <v>306</v>
      </c>
      <c r="E184" s="649" t="s">
        <v>634</v>
      </c>
      <c r="F184" s="870" t="s">
        <v>997</v>
      </c>
      <c r="G184" s="694">
        <f>'Hệ số'!D11</f>
        <v>1.1000000000000001E-2</v>
      </c>
      <c r="H184" s="484"/>
      <c r="I184" s="441"/>
      <c r="J184" s="484">
        <f>(J182)*G184</f>
        <v>13024.6871238</v>
      </c>
      <c r="K184" s="874"/>
      <c r="L184" s="874"/>
      <c r="M184" s="874"/>
      <c r="N184" s="874"/>
      <c r="O184" s="874"/>
      <c r="P184" s="874"/>
      <c r="Q184" s="874"/>
      <c r="R184" s="874"/>
      <c r="S184" s="874"/>
      <c r="T184" s="874"/>
      <c r="U184" s="874"/>
      <c r="V184" s="874"/>
      <c r="W184" s="874"/>
      <c r="X184" s="874"/>
      <c r="Y184" s="874"/>
      <c r="Z184" s="874"/>
      <c r="AA184" s="874"/>
    </row>
    <row r="185" spans="1:27" ht="30" x14ac:dyDescent="0.25">
      <c r="A185" s="813"/>
      <c r="B185" s="870"/>
      <c r="C185" s="66" t="s">
        <v>306</v>
      </c>
      <c r="D185" s="774" t="s">
        <v>306</v>
      </c>
      <c r="E185" s="649" t="s">
        <v>51</v>
      </c>
      <c r="F185" s="870" t="s">
        <v>172</v>
      </c>
      <c r="G185" s="319">
        <f>'Hệ số'!D8</f>
        <v>0.02</v>
      </c>
      <c r="H185" s="484"/>
      <c r="I185" s="441"/>
      <c r="J185" s="484">
        <f>(J182)*G185</f>
        <v>23681.249315999998</v>
      </c>
      <c r="K185" s="874"/>
      <c r="L185" s="874"/>
      <c r="M185" s="874"/>
      <c r="N185" s="874"/>
      <c r="O185" s="874"/>
      <c r="P185" s="874"/>
      <c r="Q185" s="874"/>
      <c r="R185" s="874"/>
      <c r="S185" s="874"/>
      <c r="T185" s="874"/>
      <c r="U185" s="874"/>
      <c r="V185" s="874"/>
      <c r="W185" s="874"/>
      <c r="X185" s="874"/>
      <c r="Y185" s="874"/>
      <c r="Z185" s="874"/>
      <c r="AA185" s="874"/>
    </row>
    <row r="186" spans="1:27" x14ac:dyDescent="0.25">
      <c r="A186" s="813"/>
      <c r="B186" s="870"/>
      <c r="C186" s="66" t="s">
        <v>306</v>
      </c>
      <c r="D186" s="774" t="s">
        <v>306</v>
      </c>
      <c r="E186" s="649" t="s">
        <v>4</v>
      </c>
      <c r="F186" s="870" t="s">
        <v>1074</v>
      </c>
      <c r="G186" s="735"/>
      <c r="H186" s="484"/>
      <c r="I186" s="441"/>
      <c r="J186" s="484">
        <f>J183+J184+J185</f>
        <v>110117.8093194</v>
      </c>
      <c r="K186" s="874"/>
      <c r="L186" s="874"/>
      <c r="M186" s="874"/>
      <c r="N186" s="874"/>
      <c r="O186" s="874"/>
      <c r="P186" s="874"/>
      <c r="Q186" s="874"/>
      <c r="R186" s="874"/>
      <c r="S186" s="874"/>
      <c r="T186" s="874"/>
      <c r="U186" s="874"/>
      <c r="V186" s="874"/>
      <c r="W186" s="874"/>
      <c r="X186" s="874"/>
      <c r="Y186" s="874"/>
      <c r="Z186" s="874"/>
      <c r="AA186" s="874"/>
    </row>
    <row r="187" spans="1:27" ht="30" x14ac:dyDescent="0.25">
      <c r="A187" s="813"/>
      <c r="B187" s="870"/>
      <c r="C187" s="66" t="s">
        <v>306</v>
      </c>
      <c r="D187" s="774" t="s">
        <v>306</v>
      </c>
      <c r="E187" s="649" t="s">
        <v>926</v>
      </c>
      <c r="F187" s="870" t="s">
        <v>877</v>
      </c>
      <c r="G187" s="319">
        <f>'Hệ số'!D15</f>
        <v>0.06</v>
      </c>
      <c r="H187" s="484"/>
      <c r="I187" s="441"/>
      <c r="J187" s="484">
        <f>(J182+J186)*G187</f>
        <v>77650.816507163996</v>
      </c>
      <c r="K187" s="874"/>
      <c r="L187" s="874"/>
      <c r="M187" s="874"/>
      <c r="N187" s="874"/>
      <c r="O187" s="874"/>
      <c r="P187" s="874"/>
      <c r="Q187" s="874"/>
      <c r="R187" s="874"/>
      <c r="S187" s="874"/>
      <c r="T187" s="874"/>
      <c r="U187" s="874"/>
      <c r="V187" s="874"/>
      <c r="W187" s="874"/>
      <c r="X187" s="874"/>
      <c r="Y187" s="874"/>
      <c r="Z187" s="874"/>
      <c r="AA187" s="874"/>
    </row>
    <row r="188" spans="1:27" x14ac:dyDescent="0.25">
      <c r="A188" s="813"/>
      <c r="B188" s="870"/>
      <c r="C188" s="66" t="s">
        <v>306</v>
      </c>
      <c r="D188" s="774" t="s">
        <v>306</v>
      </c>
      <c r="E188" s="421" t="s">
        <v>699</v>
      </c>
      <c r="F188" s="143" t="s">
        <v>516</v>
      </c>
      <c r="G188" s="735"/>
      <c r="H188" s="484"/>
      <c r="I188" s="441"/>
      <c r="J188" s="270">
        <f>J182+J186+J187</f>
        <v>1371831.0916265638</v>
      </c>
      <c r="K188" s="874"/>
      <c r="L188" s="874"/>
      <c r="M188" s="874"/>
      <c r="N188" s="874"/>
      <c r="O188" s="874"/>
      <c r="P188" s="874"/>
      <c r="Q188" s="874"/>
      <c r="R188" s="874"/>
      <c r="S188" s="874"/>
      <c r="T188" s="874"/>
      <c r="U188" s="874"/>
      <c r="V188" s="874"/>
      <c r="W188" s="874"/>
      <c r="X188" s="874"/>
      <c r="Y188" s="874"/>
      <c r="Z188" s="874"/>
      <c r="AA188" s="874"/>
    </row>
    <row r="189" spans="1:27" x14ac:dyDescent="0.25">
      <c r="A189" s="813"/>
      <c r="B189" s="870"/>
      <c r="C189" s="66" t="s">
        <v>306</v>
      </c>
      <c r="D189" s="774" t="s">
        <v>306</v>
      </c>
      <c r="E189" s="649" t="s">
        <v>1117</v>
      </c>
      <c r="F189" s="870" t="s">
        <v>447</v>
      </c>
      <c r="G189" s="319">
        <f>'Hệ số'!D17</f>
        <v>0.08</v>
      </c>
      <c r="H189" s="484"/>
      <c r="I189" s="441"/>
      <c r="J189" s="484">
        <f>(J188)*G189</f>
        <v>109746.48733012511</v>
      </c>
      <c r="K189" s="874"/>
      <c r="L189" s="874"/>
      <c r="M189" s="874"/>
      <c r="N189" s="874"/>
      <c r="O189" s="874"/>
      <c r="P189" s="874"/>
      <c r="Q189" s="874"/>
      <c r="R189" s="874"/>
      <c r="S189" s="874"/>
      <c r="T189" s="874"/>
      <c r="U189" s="874"/>
      <c r="V189" s="874"/>
      <c r="W189" s="874"/>
      <c r="X189" s="874"/>
      <c r="Y189" s="874"/>
      <c r="Z189" s="874"/>
      <c r="AA189" s="874"/>
    </row>
    <row r="190" spans="1:27" x14ac:dyDescent="0.25">
      <c r="A190" s="468"/>
      <c r="B190" s="534"/>
      <c r="C190" s="638" t="s">
        <v>306</v>
      </c>
      <c r="D190" s="420" t="s">
        <v>306</v>
      </c>
      <c r="E190" s="438" t="s">
        <v>1316</v>
      </c>
      <c r="F190" s="698" t="s">
        <v>927</v>
      </c>
      <c r="G190" s="750"/>
      <c r="H190" s="128"/>
      <c r="I190" s="462"/>
      <c r="J190" s="880">
        <f>J188+J189</f>
        <v>1481577.578956689</v>
      </c>
      <c r="K190" s="874"/>
      <c r="L190" s="874"/>
      <c r="M190" s="874"/>
      <c r="N190" s="874"/>
      <c r="O190" s="874"/>
      <c r="P190" s="874"/>
      <c r="Q190" s="874"/>
      <c r="R190" s="874"/>
      <c r="S190" s="874"/>
      <c r="T190" s="874"/>
      <c r="U190" s="874"/>
      <c r="V190" s="874"/>
      <c r="W190" s="874"/>
      <c r="X190" s="874"/>
      <c r="Y190" s="874"/>
      <c r="Z190" s="874"/>
      <c r="AA190" s="874"/>
    </row>
    <row r="191" spans="1:27" x14ac:dyDescent="0.25">
      <c r="A191" s="895"/>
      <c r="B191" s="58">
        <v>13</v>
      </c>
      <c r="C191" s="137" t="str">
        <f>'Tiên lượng'!C25</f>
        <v>TT</v>
      </c>
      <c r="D191" s="137" t="str">
        <f>'Tiên lượng'!C25</f>
        <v>TT</v>
      </c>
      <c r="E191" s="693" t="str">
        <f>'Tiên lượng'!D25</f>
        <v>Thi công hố ga 2 đầu cống</v>
      </c>
      <c r="F191" s="58" t="str">
        <f>'Tiên lượng'!E25</f>
        <v>cái</v>
      </c>
      <c r="G191" s="254"/>
      <c r="H191" s="194"/>
      <c r="I191" s="527"/>
      <c r="J191" s="194"/>
      <c r="K191" s="874"/>
      <c r="L191" s="874"/>
      <c r="M191" s="874"/>
      <c r="N191" s="874"/>
      <c r="O191" s="874"/>
      <c r="P191" s="874"/>
      <c r="Q191" s="874"/>
      <c r="R191" s="874"/>
      <c r="S191" s="874"/>
      <c r="T191" s="874"/>
      <c r="U191" s="874"/>
      <c r="V191" s="874"/>
      <c r="W191" s="874"/>
      <c r="X191" s="874"/>
      <c r="Y191" s="874"/>
      <c r="Z191" s="874"/>
      <c r="AA191" s="874"/>
    </row>
    <row r="192" spans="1:27" x14ac:dyDescent="0.25">
      <c r="A192" s="129"/>
      <c r="B192" s="198"/>
      <c r="C192" s="810" t="s">
        <v>306</v>
      </c>
      <c r="D192" s="810" t="s">
        <v>306</v>
      </c>
      <c r="E192" s="473" t="s">
        <v>1372</v>
      </c>
      <c r="F192" s="198" t="s">
        <v>479</v>
      </c>
      <c r="G192" s="32"/>
      <c r="H192" s="333"/>
      <c r="I192" s="671"/>
      <c r="J192" s="333">
        <f>SUM(J193:J193)</f>
        <v>1000000</v>
      </c>
      <c r="K192" s="874"/>
      <c r="L192" s="874"/>
      <c r="M192" s="874"/>
      <c r="N192" s="874"/>
      <c r="O192" s="874"/>
      <c r="P192" s="874"/>
      <c r="Q192" s="874"/>
      <c r="R192" s="874"/>
      <c r="S192" s="874"/>
      <c r="T192" s="874"/>
      <c r="U192" s="874"/>
      <c r="V192" s="874"/>
      <c r="W192" s="874"/>
      <c r="X192" s="874"/>
      <c r="Y192" s="874"/>
      <c r="Z192" s="874"/>
      <c r="AA192" s="874"/>
    </row>
    <row r="193" spans="1:27" x14ac:dyDescent="0.25">
      <c r="A193" s="813"/>
      <c r="B193" s="870"/>
      <c r="C193" s="66" t="s">
        <v>306</v>
      </c>
      <c r="D193" s="774" t="s">
        <v>306</v>
      </c>
      <c r="E193" s="649" t="s">
        <v>854</v>
      </c>
      <c r="F193" s="870" t="s">
        <v>418</v>
      </c>
      <c r="G193" s="725">
        <f>PTVT!G81</f>
        <v>1</v>
      </c>
      <c r="H193" s="484">
        <f>'Tiên lượng'!N25</f>
        <v>1000000</v>
      </c>
      <c r="I193" s="441"/>
      <c r="J193" s="484">
        <f>PRODUCT(G193,H193,I193)</f>
        <v>1000000</v>
      </c>
      <c r="K193" s="874"/>
      <c r="L193" s="874"/>
      <c r="M193" s="874"/>
      <c r="N193" s="874"/>
      <c r="O193" s="874"/>
      <c r="P193" s="874"/>
      <c r="Q193" s="874"/>
      <c r="R193" s="874"/>
      <c r="S193" s="874"/>
      <c r="T193" s="874"/>
      <c r="U193" s="874"/>
      <c r="V193" s="874"/>
      <c r="W193" s="874"/>
      <c r="X193" s="874"/>
      <c r="Y193" s="874"/>
      <c r="Z193" s="874"/>
      <c r="AA193" s="874"/>
    </row>
    <row r="194" spans="1:27" x14ac:dyDescent="0.25">
      <c r="A194" s="129"/>
      <c r="B194" s="198"/>
      <c r="C194" s="810" t="s">
        <v>306</v>
      </c>
      <c r="D194" s="810" t="s">
        <v>306</v>
      </c>
      <c r="E194" s="473" t="s">
        <v>740</v>
      </c>
      <c r="F194" s="198" t="s">
        <v>836</v>
      </c>
      <c r="G194" s="32"/>
      <c r="H194" s="333"/>
      <c r="I194" s="671"/>
      <c r="J194" s="333">
        <v>0</v>
      </c>
      <c r="K194" s="874"/>
      <c r="L194" s="874"/>
      <c r="M194" s="874"/>
      <c r="N194" s="874"/>
      <c r="O194" s="874"/>
      <c r="P194" s="874"/>
      <c r="Q194" s="874"/>
      <c r="R194" s="874"/>
      <c r="S194" s="874"/>
      <c r="T194" s="874"/>
      <c r="U194" s="874"/>
      <c r="V194" s="874"/>
      <c r="W194" s="874"/>
      <c r="X194" s="874"/>
      <c r="Y194" s="874"/>
      <c r="Z194" s="874"/>
      <c r="AA194" s="874"/>
    </row>
    <row r="195" spans="1:27" x14ac:dyDescent="0.25">
      <c r="A195" s="129"/>
      <c r="B195" s="198"/>
      <c r="C195" s="810" t="s">
        <v>306</v>
      </c>
      <c r="D195" s="810" t="s">
        <v>306</v>
      </c>
      <c r="E195" s="473" t="s">
        <v>890</v>
      </c>
      <c r="F195" s="198" t="s">
        <v>125</v>
      </c>
      <c r="G195" s="32"/>
      <c r="H195" s="333"/>
      <c r="I195" s="671"/>
      <c r="J195" s="333">
        <f>SUM(J196:J196)</f>
        <v>1000000</v>
      </c>
      <c r="K195" s="874"/>
      <c r="L195" s="874"/>
      <c r="M195" s="874"/>
      <c r="N195" s="874"/>
      <c r="O195" s="874"/>
      <c r="P195" s="874"/>
      <c r="Q195" s="874"/>
      <c r="R195" s="874"/>
      <c r="S195" s="874"/>
      <c r="T195" s="874"/>
      <c r="U195" s="874"/>
      <c r="V195" s="874"/>
      <c r="W195" s="874"/>
      <c r="X195" s="874"/>
      <c r="Y195" s="874"/>
      <c r="Z195" s="874"/>
      <c r="AA195" s="874"/>
    </row>
    <row r="196" spans="1:27" x14ac:dyDescent="0.25">
      <c r="A196" s="813"/>
      <c r="B196" s="870"/>
      <c r="C196" s="66" t="s">
        <v>306</v>
      </c>
      <c r="D196" s="774" t="s">
        <v>306</v>
      </c>
      <c r="E196" s="649" t="s">
        <v>663</v>
      </c>
      <c r="F196" s="870" t="s">
        <v>239</v>
      </c>
      <c r="G196" s="725">
        <f>PTVT!G67</f>
        <v>1</v>
      </c>
      <c r="H196" s="484">
        <f>'Tiên lượng'!P25</f>
        <v>1000000</v>
      </c>
      <c r="I196" s="441"/>
      <c r="J196" s="484">
        <f>PRODUCT(G196,H196,I196)</f>
        <v>1000000</v>
      </c>
      <c r="K196" s="874"/>
      <c r="L196" s="874"/>
      <c r="M196" s="874"/>
      <c r="N196" s="874"/>
      <c r="O196" s="874"/>
      <c r="P196" s="874"/>
      <c r="Q196" s="874"/>
      <c r="R196" s="874"/>
      <c r="S196" s="874"/>
      <c r="T196" s="874"/>
      <c r="U196" s="874"/>
      <c r="V196" s="874"/>
      <c r="W196" s="874"/>
      <c r="X196" s="874"/>
      <c r="Y196" s="874"/>
      <c r="Z196" s="874"/>
      <c r="AA196" s="874"/>
    </row>
    <row r="197" spans="1:27" x14ac:dyDescent="0.25">
      <c r="A197" s="129"/>
      <c r="B197" s="198"/>
      <c r="C197" s="810" t="s">
        <v>306</v>
      </c>
      <c r="D197" s="810" t="s">
        <v>306</v>
      </c>
      <c r="E197" s="473" t="s">
        <v>556</v>
      </c>
      <c r="F197" s="198" t="s">
        <v>539</v>
      </c>
      <c r="G197" s="32"/>
      <c r="H197" s="333"/>
      <c r="I197" s="671"/>
      <c r="J197" s="333">
        <v>0</v>
      </c>
      <c r="K197" s="874"/>
      <c r="L197" s="874"/>
      <c r="M197" s="874"/>
      <c r="N197" s="874"/>
      <c r="O197" s="874"/>
      <c r="P197" s="874"/>
      <c r="Q197" s="874"/>
      <c r="R197" s="874"/>
      <c r="S197" s="874"/>
      <c r="T197" s="874"/>
      <c r="U197" s="874"/>
      <c r="V197" s="874"/>
      <c r="W197" s="874"/>
      <c r="X197" s="874"/>
      <c r="Y197" s="874"/>
      <c r="Z197" s="874"/>
      <c r="AA197" s="874"/>
    </row>
    <row r="198" spans="1:27" x14ac:dyDescent="0.25">
      <c r="A198" s="813"/>
      <c r="B198" s="870"/>
      <c r="C198" s="66" t="s">
        <v>306</v>
      </c>
      <c r="D198" s="774" t="s">
        <v>306</v>
      </c>
      <c r="E198" s="649" t="s">
        <v>1211</v>
      </c>
      <c r="F198" s="870" t="s">
        <v>969</v>
      </c>
      <c r="G198" s="735"/>
      <c r="H198" s="484"/>
      <c r="I198" s="441"/>
      <c r="J198" s="484">
        <f>J192+J194+J195+J197</f>
        <v>2000000</v>
      </c>
      <c r="K198" s="874"/>
      <c r="L198" s="874"/>
      <c r="M198" s="874"/>
      <c r="N198" s="874"/>
      <c r="O198" s="874"/>
      <c r="P198" s="874"/>
      <c r="Q198" s="874"/>
      <c r="R198" s="874"/>
      <c r="S198" s="874"/>
      <c r="T198" s="874"/>
      <c r="U198" s="874"/>
      <c r="V198" s="874"/>
      <c r="W198" s="874"/>
      <c r="X198" s="874"/>
      <c r="Y198" s="874"/>
      <c r="Z198" s="874"/>
      <c r="AA198" s="874"/>
    </row>
    <row r="199" spans="1:27" x14ac:dyDescent="0.25">
      <c r="A199" s="813"/>
      <c r="B199" s="870"/>
      <c r="C199" s="66" t="s">
        <v>306</v>
      </c>
      <c r="D199" s="774" t="s">
        <v>306</v>
      </c>
      <c r="E199" s="649" t="s">
        <v>581</v>
      </c>
      <c r="F199" s="870" t="s">
        <v>892</v>
      </c>
      <c r="G199" s="694">
        <f>'Hệ số'!D5</f>
        <v>6.2E-2</v>
      </c>
      <c r="H199" s="484"/>
      <c r="I199" s="441"/>
      <c r="J199" s="484">
        <f>(J198)*G199</f>
        <v>124000</v>
      </c>
      <c r="K199" s="874"/>
      <c r="L199" s="874"/>
      <c r="M199" s="874"/>
      <c r="N199" s="874"/>
      <c r="O199" s="874"/>
      <c r="P199" s="874"/>
      <c r="Q199" s="874"/>
      <c r="R199" s="874"/>
      <c r="S199" s="874"/>
      <c r="T199" s="874"/>
      <c r="U199" s="874"/>
      <c r="V199" s="874"/>
      <c r="W199" s="874"/>
      <c r="X199" s="874"/>
      <c r="Y199" s="874"/>
      <c r="Z199" s="874"/>
      <c r="AA199" s="874"/>
    </row>
    <row r="200" spans="1:27" x14ac:dyDescent="0.25">
      <c r="A200" s="813"/>
      <c r="B200" s="870"/>
      <c r="C200" s="66" t="s">
        <v>306</v>
      </c>
      <c r="D200" s="774" t="s">
        <v>306</v>
      </c>
      <c r="E200" s="649" t="s">
        <v>634</v>
      </c>
      <c r="F200" s="870" t="s">
        <v>997</v>
      </c>
      <c r="G200" s="694">
        <f>'Hệ số'!D11</f>
        <v>1.1000000000000001E-2</v>
      </c>
      <c r="H200" s="484"/>
      <c r="I200" s="441"/>
      <c r="J200" s="484">
        <f>(J198)*G200</f>
        <v>22000.000000000004</v>
      </c>
      <c r="K200" s="874"/>
      <c r="L200" s="874"/>
      <c r="M200" s="874"/>
      <c r="N200" s="874"/>
      <c r="O200" s="874"/>
      <c r="P200" s="874"/>
      <c r="Q200" s="874"/>
      <c r="R200" s="874"/>
      <c r="S200" s="874"/>
      <c r="T200" s="874"/>
      <c r="U200" s="874"/>
      <c r="V200" s="874"/>
      <c r="W200" s="874"/>
      <c r="X200" s="874"/>
      <c r="Y200" s="874"/>
      <c r="Z200" s="874"/>
      <c r="AA200" s="874"/>
    </row>
    <row r="201" spans="1:27" ht="30" x14ac:dyDescent="0.25">
      <c r="A201" s="813"/>
      <c r="B201" s="870"/>
      <c r="C201" s="66" t="s">
        <v>306</v>
      </c>
      <c r="D201" s="774" t="s">
        <v>306</v>
      </c>
      <c r="E201" s="649" t="s">
        <v>51</v>
      </c>
      <c r="F201" s="870" t="s">
        <v>172</v>
      </c>
      <c r="G201" s="319">
        <f>'Hệ số'!D8</f>
        <v>0.02</v>
      </c>
      <c r="H201" s="484"/>
      <c r="I201" s="441"/>
      <c r="J201" s="484">
        <f>(J198)*G201</f>
        <v>40000</v>
      </c>
      <c r="K201" s="874"/>
      <c r="L201" s="874"/>
      <c r="M201" s="874"/>
      <c r="N201" s="874"/>
      <c r="O201" s="874"/>
      <c r="P201" s="874"/>
      <c r="Q201" s="874"/>
      <c r="R201" s="874"/>
      <c r="S201" s="874"/>
      <c r="T201" s="874"/>
      <c r="U201" s="874"/>
      <c r="V201" s="874"/>
      <c r="W201" s="874"/>
      <c r="X201" s="874"/>
      <c r="Y201" s="874"/>
      <c r="Z201" s="874"/>
      <c r="AA201" s="874"/>
    </row>
    <row r="202" spans="1:27" x14ac:dyDescent="0.25">
      <c r="A202" s="813"/>
      <c r="B202" s="870"/>
      <c r="C202" s="66" t="s">
        <v>306</v>
      </c>
      <c r="D202" s="774" t="s">
        <v>306</v>
      </c>
      <c r="E202" s="649" t="s">
        <v>4</v>
      </c>
      <c r="F202" s="870" t="s">
        <v>1074</v>
      </c>
      <c r="G202" s="735"/>
      <c r="H202" s="484"/>
      <c r="I202" s="441"/>
      <c r="J202" s="484">
        <f>J199+J200+J201</f>
        <v>186000</v>
      </c>
      <c r="K202" s="874"/>
      <c r="L202" s="874"/>
      <c r="M202" s="874"/>
      <c r="N202" s="874"/>
      <c r="O202" s="874"/>
      <c r="P202" s="874"/>
      <c r="Q202" s="874"/>
      <c r="R202" s="874"/>
      <c r="S202" s="874"/>
      <c r="T202" s="874"/>
      <c r="U202" s="874"/>
      <c r="V202" s="874"/>
      <c r="W202" s="874"/>
      <c r="X202" s="874"/>
      <c r="Y202" s="874"/>
      <c r="Z202" s="874"/>
      <c r="AA202" s="874"/>
    </row>
    <row r="203" spans="1:27" ht="30" x14ac:dyDescent="0.25">
      <c r="A203" s="813"/>
      <c r="B203" s="870"/>
      <c r="C203" s="66" t="s">
        <v>306</v>
      </c>
      <c r="D203" s="774" t="s">
        <v>306</v>
      </c>
      <c r="E203" s="649" t="s">
        <v>926</v>
      </c>
      <c r="F203" s="870" t="s">
        <v>877</v>
      </c>
      <c r="G203" s="319">
        <f>'Hệ số'!D15</f>
        <v>0.06</v>
      </c>
      <c r="H203" s="484"/>
      <c r="I203" s="441"/>
      <c r="J203" s="484">
        <f>(J198+J202)*G203</f>
        <v>131160</v>
      </c>
      <c r="K203" s="874"/>
      <c r="L203" s="874"/>
      <c r="M203" s="874"/>
      <c r="N203" s="874"/>
      <c r="O203" s="874"/>
      <c r="P203" s="874"/>
      <c r="Q203" s="874"/>
      <c r="R203" s="874"/>
      <c r="S203" s="874"/>
      <c r="T203" s="874"/>
      <c r="U203" s="874"/>
      <c r="V203" s="874"/>
      <c r="W203" s="874"/>
      <c r="X203" s="874"/>
      <c r="Y203" s="874"/>
      <c r="Z203" s="874"/>
      <c r="AA203" s="874"/>
    </row>
    <row r="204" spans="1:27" x14ac:dyDescent="0.25">
      <c r="A204" s="813"/>
      <c r="B204" s="870"/>
      <c r="C204" s="66" t="s">
        <v>306</v>
      </c>
      <c r="D204" s="774" t="s">
        <v>306</v>
      </c>
      <c r="E204" s="421" t="s">
        <v>699</v>
      </c>
      <c r="F204" s="143" t="s">
        <v>516</v>
      </c>
      <c r="G204" s="735"/>
      <c r="H204" s="484"/>
      <c r="I204" s="441"/>
      <c r="J204" s="270">
        <f>J198+J202+J203</f>
        <v>2317160</v>
      </c>
      <c r="K204" s="874"/>
      <c r="L204" s="874"/>
      <c r="M204" s="874"/>
      <c r="N204" s="874"/>
      <c r="O204" s="874"/>
      <c r="P204" s="874"/>
      <c r="Q204" s="874"/>
      <c r="R204" s="874"/>
      <c r="S204" s="874"/>
      <c r="T204" s="874"/>
      <c r="U204" s="874"/>
      <c r="V204" s="874"/>
      <c r="W204" s="874"/>
      <c r="X204" s="874"/>
      <c r="Y204" s="874"/>
      <c r="Z204" s="874"/>
      <c r="AA204" s="874"/>
    </row>
    <row r="205" spans="1:27" x14ac:dyDescent="0.25">
      <c r="A205" s="813"/>
      <c r="B205" s="870"/>
      <c r="C205" s="66" t="s">
        <v>306</v>
      </c>
      <c r="D205" s="774" t="s">
        <v>306</v>
      </c>
      <c r="E205" s="649" t="s">
        <v>1117</v>
      </c>
      <c r="F205" s="870" t="s">
        <v>447</v>
      </c>
      <c r="G205" s="319">
        <f>'Hệ số'!D17</f>
        <v>0.08</v>
      </c>
      <c r="H205" s="484"/>
      <c r="I205" s="441"/>
      <c r="J205" s="484">
        <f>(J204)*G205</f>
        <v>185372.80000000002</v>
      </c>
      <c r="K205" s="874"/>
      <c r="L205" s="874"/>
      <c r="M205" s="874"/>
      <c r="N205" s="874"/>
      <c r="O205" s="874"/>
      <c r="P205" s="874"/>
      <c r="Q205" s="874"/>
      <c r="R205" s="874"/>
      <c r="S205" s="874"/>
      <c r="T205" s="874"/>
      <c r="U205" s="874"/>
      <c r="V205" s="874"/>
      <c r="W205" s="874"/>
      <c r="X205" s="874"/>
      <c r="Y205" s="874"/>
      <c r="Z205" s="874"/>
      <c r="AA205" s="874"/>
    </row>
    <row r="206" spans="1:27" x14ac:dyDescent="0.25">
      <c r="A206" s="468"/>
      <c r="B206" s="534"/>
      <c r="C206" s="638" t="s">
        <v>306</v>
      </c>
      <c r="D206" s="420" t="s">
        <v>306</v>
      </c>
      <c r="E206" s="438" t="s">
        <v>1316</v>
      </c>
      <c r="F206" s="698" t="s">
        <v>927</v>
      </c>
      <c r="G206" s="750"/>
      <c r="H206" s="128"/>
      <c r="I206" s="462"/>
      <c r="J206" s="880">
        <f>J204+J205</f>
        <v>2502532.7999999998</v>
      </c>
      <c r="K206" s="874"/>
      <c r="L206" s="874"/>
      <c r="M206" s="874"/>
      <c r="N206" s="874"/>
      <c r="O206" s="874"/>
      <c r="P206" s="874"/>
      <c r="Q206" s="874"/>
      <c r="R206" s="874"/>
      <c r="S206" s="874"/>
      <c r="T206" s="874"/>
      <c r="U206" s="874"/>
      <c r="V206" s="874"/>
      <c r="W206" s="874"/>
      <c r="X206" s="874"/>
      <c r="Y206" s="874"/>
      <c r="Z206" s="874"/>
      <c r="AA206" s="874"/>
    </row>
    <row r="207" spans="1:27" x14ac:dyDescent="0.25">
      <c r="A207" s="895"/>
      <c r="B207" s="58">
        <v>14</v>
      </c>
      <c r="C207" s="137" t="str">
        <f>'Tiên lượng'!C27</f>
        <v>AL.16201</v>
      </c>
      <c r="D207" s="137" t="str">
        <f>'Tiên lượng'!C27</f>
        <v>AL.16201</v>
      </c>
      <c r="E207" s="693" t="str">
        <f>'Tiên lượng'!D27</f>
        <v>Rải giấy ni long lớp cách ly</v>
      </c>
      <c r="F207" s="58" t="str">
        <f>'Tiên lượng'!E27</f>
        <v>100m2</v>
      </c>
      <c r="G207" s="254"/>
      <c r="H207" s="194"/>
      <c r="I207" s="527"/>
      <c r="J207" s="194"/>
      <c r="K207" s="874"/>
      <c r="L207" s="874"/>
      <c r="M207" s="874"/>
      <c r="N207" s="874"/>
      <c r="O207" s="874"/>
      <c r="P207" s="874"/>
      <c r="Q207" s="874"/>
      <c r="R207" s="874"/>
      <c r="S207" s="874"/>
      <c r="T207" s="874"/>
      <c r="U207" s="874"/>
      <c r="V207" s="874"/>
      <c r="W207" s="874"/>
      <c r="X207" s="874"/>
      <c r="Y207" s="874"/>
      <c r="Z207" s="874"/>
      <c r="AA207" s="874"/>
    </row>
    <row r="208" spans="1:27" x14ac:dyDescent="0.25">
      <c r="A208" s="129"/>
      <c r="B208" s="198"/>
      <c r="C208" s="810" t="s">
        <v>306</v>
      </c>
      <c r="D208" s="810" t="s">
        <v>306</v>
      </c>
      <c r="E208" s="473" t="s">
        <v>1372</v>
      </c>
      <c r="F208" s="198" t="s">
        <v>479</v>
      </c>
      <c r="G208" s="32"/>
      <c r="H208" s="333"/>
      <c r="I208" s="671"/>
      <c r="J208" s="333">
        <f>SUM(J209:J210)</f>
        <v>440880</v>
      </c>
      <c r="K208" s="874"/>
      <c r="L208" s="874"/>
      <c r="M208" s="874"/>
      <c r="N208" s="874"/>
      <c r="O208" s="874"/>
      <c r="P208" s="874"/>
      <c r="Q208" s="874"/>
      <c r="R208" s="874"/>
      <c r="S208" s="874"/>
      <c r="T208" s="874"/>
      <c r="U208" s="874"/>
      <c r="V208" s="874"/>
      <c r="W208" s="874"/>
      <c r="X208" s="874"/>
      <c r="Y208" s="874"/>
      <c r="Z208" s="874"/>
      <c r="AA208" s="874"/>
    </row>
    <row r="209" spans="1:27" x14ac:dyDescent="0.25">
      <c r="A209" s="813"/>
      <c r="B209" s="870"/>
      <c r="C209" s="66" t="s">
        <v>306</v>
      </c>
      <c r="D209" s="774" t="s">
        <v>1285</v>
      </c>
      <c r="E209" s="649" t="str">
        <f>" - " &amp; 'Giá VL'!E11</f>
        <v xml:space="preserve"> - Giấy nilong</v>
      </c>
      <c r="F209" s="870" t="str">
        <f>'Giá VL'!F11</f>
        <v>m2</v>
      </c>
      <c r="G209" s="725">
        <f>PTVT!G88</f>
        <v>110</v>
      </c>
      <c r="H209" s="484">
        <f>'Giá VL'!V11</f>
        <v>4000</v>
      </c>
      <c r="I209" s="441">
        <f>'Tiên lượng'!V27</f>
        <v>1</v>
      </c>
      <c r="J209" s="484">
        <f t="shared" ref="J209:J210" si="4">PRODUCT(G209,H209,I209)</f>
        <v>440000</v>
      </c>
      <c r="K209" s="874"/>
      <c r="L209" s="874"/>
      <c r="M209" s="874"/>
      <c r="N209" s="874"/>
      <c r="O209" s="874"/>
      <c r="P209" s="874"/>
      <c r="Q209" s="874"/>
      <c r="R209" s="874"/>
      <c r="S209" s="874"/>
      <c r="T209" s="874"/>
      <c r="U209" s="874"/>
      <c r="V209" s="874"/>
      <c r="W209" s="874"/>
      <c r="X209" s="874"/>
      <c r="Y209" s="874"/>
      <c r="Z209" s="874"/>
      <c r="AA209" s="874"/>
    </row>
    <row r="210" spans="1:27" x14ac:dyDescent="0.25">
      <c r="A210" s="813"/>
      <c r="B210" s="870"/>
      <c r="C210" s="66" t="s">
        <v>306</v>
      </c>
      <c r="D210" s="774" t="s">
        <v>429</v>
      </c>
      <c r="E210" s="649" t="s">
        <v>987</v>
      </c>
      <c r="F210" s="870" t="s">
        <v>1086</v>
      </c>
      <c r="G210" s="725">
        <f>PTVT!G89</f>
        <v>0.2</v>
      </c>
      <c r="H210" s="484">
        <f>IF('Tiên lượng'!V27&lt;&gt;0,SUM(J209:J209)/100/'Tiên lượng'!V27,0)</f>
        <v>4400</v>
      </c>
      <c r="I210" s="441">
        <f>'Tiên lượng'!V27</f>
        <v>1</v>
      </c>
      <c r="J210" s="484">
        <f t="shared" si="4"/>
        <v>880</v>
      </c>
      <c r="K210" s="874"/>
      <c r="L210" s="874"/>
      <c r="M210" s="874"/>
      <c r="N210" s="874"/>
      <c r="O210" s="874"/>
      <c r="P210" s="874"/>
      <c r="Q210" s="874"/>
      <c r="R210" s="874"/>
      <c r="S210" s="874"/>
      <c r="T210" s="874"/>
      <c r="U210" s="874"/>
      <c r="V210" s="874"/>
      <c r="W210" s="874"/>
      <c r="X210" s="874"/>
      <c r="Y210" s="874"/>
      <c r="Z210" s="874"/>
      <c r="AA210" s="874"/>
    </row>
    <row r="211" spans="1:27" x14ac:dyDescent="0.25">
      <c r="A211" s="129"/>
      <c r="B211" s="198"/>
      <c r="C211" s="810" t="s">
        <v>306</v>
      </c>
      <c r="D211" s="810" t="s">
        <v>306</v>
      </c>
      <c r="E211" s="473" t="s">
        <v>890</v>
      </c>
      <c r="F211" s="198" t="s">
        <v>125</v>
      </c>
      <c r="G211" s="32"/>
      <c r="H211" s="333"/>
      <c r="I211" s="671"/>
      <c r="J211" s="333">
        <f>SUM(J212:J212)</f>
        <v>40500</v>
      </c>
      <c r="K211" s="874"/>
      <c r="L211" s="874"/>
      <c r="M211" s="874"/>
      <c r="N211" s="874"/>
      <c r="O211" s="874"/>
      <c r="P211" s="874"/>
      <c r="Q211" s="874"/>
      <c r="R211" s="874"/>
      <c r="S211" s="874"/>
      <c r="T211" s="874"/>
      <c r="U211" s="874"/>
      <c r="V211" s="874"/>
      <c r="W211" s="874"/>
      <c r="X211" s="874"/>
      <c r="Y211" s="874"/>
      <c r="Z211" s="874"/>
      <c r="AA211" s="874"/>
    </row>
    <row r="212" spans="1:27" x14ac:dyDescent="0.25">
      <c r="A212" s="813"/>
      <c r="B212" s="870"/>
      <c r="C212" s="66" t="s">
        <v>306</v>
      </c>
      <c r="D212" s="774" t="s">
        <v>1055</v>
      </c>
      <c r="E212" s="649" t="str">
        <f>" - " &amp; 'Giá NC'!E7</f>
        <v xml:space="preserve"> - Nhân công bậc 3,5/7 - Nhóm 2</v>
      </c>
      <c r="F212" s="870" t="str">
        <f>'Giá NC'!F7</f>
        <v>công</v>
      </c>
      <c r="G212" s="725">
        <f>PTVT!G91</f>
        <v>0.15</v>
      </c>
      <c r="H212" s="484">
        <f>'Giá NC'!K7</f>
        <v>270000</v>
      </c>
      <c r="I212" s="441">
        <f>'Tiên lượng'!W27</f>
        <v>1</v>
      </c>
      <c r="J212" s="484">
        <f>PRODUCT(G212,H212,I212)</f>
        <v>40500</v>
      </c>
      <c r="K212" s="874"/>
      <c r="L212" s="874"/>
      <c r="M212" s="874"/>
      <c r="N212" s="874"/>
      <c r="O212" s="874"/>
      <c r="P212" s="874"/>
      <c r="Q212" s="874"/>
      <c r="R212" s="874"/>
      <c r="S212" s="874"/>
      <c r="T212" s="874"/>
      <c r="U212" s="874"/>
      <c r="V212" s="874"/>
      <c r="W212" s="874"/>
      <c r="X212" s="874"/>
      <c r="Y212" s="874"/>
      <c r="Z212" s="874"/>
      <c r="AA212" s="874"/>
    </row>
    <row r="213" spans="1:27" x14ac:dyDescent="0.25">
      <c r="A213" s="129"/>
      <c r="B213" s="198"/>
      <c r="C213" s="810" t="s">
        <v>306</v>
      </c>
      <c r="D213" s="810" t="s">
        <v>306</v>
      </c>
      <c r="E213" s="473" t="s">
        <v>556</v>
      </c>
      <c r="F213" s="198" t="s">
        <v>539</v>
      </c>
      <c r="G213" s="32"/>
      <c r="H213" s="333"/>
      <c r="I213" s="671"/>
      <c r="J213" s="333">
        <v>0</v>
      </c>
      <c r="K213" s="874"/>
      <c r="L213" s="874"/>
      <c r="M213" s="874"/>
      <c r="N213" s="874"/>
      <c r="O213" s="874"/>
      <c r="P213" s="874"/>
      <c r="Q213" s="874"/>
      <c r="R213" s="874"/>
      <c r="S213" s="874"/>
      <c r="T213" s="874"/>
      <c r="U213" s="874"/>
      <c r="V213" s="874"/>
      <c r="W213" s="874"/>
      <c r="X213" s="874"/>
      <c r="Y213" s="874"/>
      <c r="Z213" s="874"/>
      <c r="AA213" s="874"/>
    </row>
    <row r="214" spans="1:27" x14ac:dyDescent="0.25">
      <c r="A214" s="813"/>
      <c r="B214" s="870"/>
      <c r="C214" s="66" t="s">
        <v>306</v>
      </c>
      <c r="D214" s="774" t="s">
        <v>306</v>
      </c>
      <c r="E214" s="649" t="s">
        <v>1211</v>
      </c>
      <c r="F214" s="870" t="s">
        <v>969</v>
      </c>
      <c r="G214" s="735"/>
      <c r="H214" s="484"/>
      <c r="I214" s="441"/>
      <c r="J214" s="484">
        <f>J208+J211+J213</f>
        <v>481380</v>
      </c>
      <c r="K214" s="874"/>
      <c r="L214" s="874"/>
      <c r="M214" s="874"/>
      <c r="N214" s="874"/>
      <c r="O214" s="874"/>
      <c r="P214" s="874"/>
      <c r="Q214" s="874"/>
      <c r="R214" s="874"/>
      <c r="S214" s="874"/>
      <c r="T214" s="874"/>
      <c r="U214" s="874"/>
      <c r="V214" s="874"/>
      <c r="W214" s="874"/>
      <c r="X214" s="874"/>
      <c r="Y214" s="874"/>
      <c r="Z214" s="874"/>
      <c r="AA214" s="874"/>
    </row>
    <row r="215" spans="1:27" x14ac:dyDescent="0.25">
      <c r="A215" s="813"/>
      <c r="B215" s="870"/>
      <c r="C215" s="66" t="s">
        <v>306</v>
      </c>
      <c r="D215" s="774" t="s">
        <v>306</v>
      </c>
      <c r="E215" s="649" t="s">
        <v>581</v>
      </c>
      <c r="F215" s="870" t="s">
        <v>892</v>
      </c>
      <c r="G215" s="694">
        <f>'Hệ số'!D5</f>
        <v>6.2E-2</v>
      </c>
      <c r="H215" s="484"/>
      <c r="I215" s="441"/>
      <c r="J215" s="484">
        <f>(J214)*G215</f>
        <v>29845.56</v>
      </c>
      <c r="K215" s="874"/>
      <c r="L215" s="874"/>
      <c r="M215" s="874"/>
      <c r="N215" s="874"/>
      <c r="O215" s="874"/>
      <c r="P215" s="874"/>
      <c r="Q215" s="874"/>
      <c r="R215" s="874"/>
      <c r="S215" s="874"/>
      <c r="T215" s="874"/>
      <c r="U215" s="874"/>
      <c r="V215" s="874"/>
      <c r="W215" s="874"/>
      <c r="X215" s="874"/>
      <c r="Y215" s="874"/>
      <c r="Z215" s="874"/>
      <c r="AA215" s="874"/>
    </row>
    <row r="216" spans="1:27" x14ac:dyDescent="0.25">
      <c r="A216" s="813"/>
      <c r="B216" s="870"/>
      <c r="C216" s="66" t="s">
        <v>306</v>
      </c>
      <c r="D216" s="774" t="s">
        <v>306</v>
      </c>
      <c r="E216" s="649" t="s">
        <v>634</v>
      </c>
      <c r="F216" s="870" t="s">
        <v>997</v>
      </c>
      <c r="G216" s="694">
        <f>'Hệ số'!D11</f>
        <v>1.1000000000000001E-2</v>
      </c>
      <c r="H216" s="484"/>
      <c r="I216" s="441"/>
      <c r="J216" s="484">
        <f>(J214)*G216</f>
        <v>5295.18</v>
      </c>
      <c r="K216" s="874"/>
      <c r="L216" s="874"/>
      <c r="M216" s="874"/>
      <c r="N216" s="874"/>
      <c r="O216" s="874"/>
      <c r="P216" s="874"/>
      <c r="Q216" s="874"/>
      <c r="R216" s="874"/>
      <c r="S216" s="874"/>
      <c r="T216" s="874"/>
      <c r="U216" s="874"/>
      <c r="V216" s="874"/>
      <c r="W216" s="874"/>
      <c r="X216" s="874"/>
      <c r="Y216" s="874"/>
      <c r="Z216" s="874"/>
      <c r="AA216" s="874"/>
    </row>
    <row r="217" spans="1:27" ht="30" x14ac:dyDescent="0.25">
      <c r="A217" s="813"/>
      <c r="B217" s="870"/>
      <c r="C217" s="66" t="s">
        <v>306</v>
      </c>
      <c r="D217" s="774" t="s">
        <v>306</v>
      </c>
      <c r="E217" s="649" t="s">
        <v>51</v>
      </c>
      <c r="F217" s="870" t="s">
        <v>172</v>
      </c>
      <c r="G217" s="319">
        <f>'Hệ số'!D8</f>
        <v>0.02</v>
      </c>
      <c r="H217" s="484"/>
      <c r="I217" s="441"/>
      <c r="J217" s="484">
        <f>(J214)*G217</f>
        <v>9627.6</v>
      </c>
      <c r="K217" s="874"/>
      <c r="L217" s="874"/>
      <c r="M217" s="874"/>
      <c r="N217" s="874"/>
      <c r="O217" s="874"/>
      <c r="P217" s="874"/>
      <c r="Q217" s="874"/>
      <c r="R217" s="874"/>
      <c r="S217" s="874"/>
      <c r="T217" s="874"/>
      <c r="U217" s="874"/>
      <c r="V217" s="874"/>
      <c r="W217" s="874"/>
      <c r="X217" s="874"/>
      <c r="Y217" s="874"/>
      <c r="Z217" s="874"/>
      <c r="AA217" s="874"/>
    </row>
    <row r="218" spans="1:27" x14ac:dyDescent="0.25">
      <c r="A218" s="813"/>
      <c r="B218" s="870"/>
      <c r="C218" s="66" t="s">
        <v>306</v>
      </c>
      <c r="D218" s="774" t="s">
        <v>306</v>
      </c>
      <c r="E218" s="649" t="s">
        <v>4</v>
      </c>
      <c r="F218" s="870" t="s">
        <v>1074</v>
      </c>
      <c r="G218" s="735"/>
      <c r="H218" s="484"/>
      <c r="I218" s="441"/>
      <c r="J218" s="484">
        <f>J215+J216+J217</f>
        <v>44768.340000000004</v>
      </c>
      <c r="K218" s="874"/>
      <c r="L218" s="874"/>
      <c r="M218" s="874"/>
      <c r="N218" s="874"/>
      <c r="O218" s="874"/>
      <c r="P218" s="874"/>
      <c r="Q218" s="874"/>
      <c r="R218" s="874"/>
      <c r="S218" s="874"/>
      <c r="T218" s="874"/>
      <c r="U218" s="874"/>
      <c r="V218" s="874"/>
      <c r="W218" s="874"/>
      <c r="X218" s="874"/>
      <c r="Y218" s="874"/>
      <c r="Z218" s="874"/>
      <c r="AA218" s="874"/>
    </row>
    <row r="219" spans="1:27" ht="30" x14ac:dyDescent="0.25">
      <c r="A219" s="813"/>
      <c r="B219" s="870"/>
      <c r="C219" s="66" t="s">
        <v>306</v>
      </c>
      <c r="D219" s="774" t="s">
        <v>306</v>
      </c>
      <c r="E219" s="649" t="s">
        <v>926</v>
      </c>
      <c r="F219" s="870" t="s">
        <v>877</v>
      </c>
      <c r="G219" s="319">
        <f>'Hệ số'!D15</f>
        <v>0.06</v>
      </c>
      <c r="H219" s="484"/>
      <c r="I219" s="441"/>
      <c r="J219" s="484">
        <f>(J214+J218)*G219</f>
        <v>31568.900399999999</v>
      </c>
      <c r="K219" s="874"/>
      <c r="L219" s="874"/>
      <c r="M219" s="874"/>
      <c r="N219" s="874"/>
      <c r="O219" s="874"/>
      <c r="P219" s="874"/>
      <c r="Q219" s="874"/>
      <c r="R219" s="874"/>
      <c r="S219" s="874"/>
      <c r="T219" s="874"/>
      <c r="U219" s="874"/>
      <c r="V219" s="874"/>
      <c r="W219" s="874"/>
      <c r="X219" s="874"/>
      <c r="Y219" s="874"/>
      <c r="Z219" s="874"/>
      <c r="AA219" s="874"/>
    </row>
    <row r="220" spans="1:27" x14ac:dyDescent="0.25">
      <c r="A220" s="813"/>
      <c r="B220" s="870"/>
      <c r="C220" s="66" t="s">
        <v>306</v>
      </c>
      <c r="D220" s="774" t="s">
        <v>306</v>
      </c>
      <c r="E220" s="421" t="s">
        <v>699</v>
      </c>
      <c r="F220" s="143" t="s">
        <v>516</v>
      </c>
      <c r="G220" s="735"/>
      <c r="H220" s="484"/>
      <c r="I220" s="441"/>
      <c r="J220" s="270">
        <f>J214+J218+J219</f>
        <v>557717.24040000001</v>
      </c>
      <c r="K220" s="874"/>
      <c r="L220" s="874"/>
      <c r="M220" s="874"/>
      <c r="N220" s="874"/>
      <c r="O220" s="874"/>
      <c r="P220" s="874"/>
      <c r="Q220" s="874"/>
      <c r="R220" s="874"/>
      <c r="S220" s="874"/>
      <c r="T220" s="874"/>
      <c r="U220" s="874"/>
      <c r="V220" s="874"/>
      <c r="W220" s="874"/>
      <c r="X220" s="874"/>
      <c r="Y220" s="874"/>
      <c r="Z220" s="874"/>
      <c r="AA220" s="874"/>
    </row>
    <row r="221" spans="1:27" x14ac:dyDescent="0.25">
      <c r="A221" s="813"/>
      <c r="B221" s="870"/>
      <c r="C221" s="66" t="s">
        <v>306</v>
      </c>
      <c r="D221" s="774" t="s">
        <v>306</v>
      </c>
      <c r="E221" s="649" t="s">
        <v>1117</v>
      </c>
      <c r="F221" s="870" t="s">
        <v>447</v>
      </c>
      <c r="G221" s="319">
        <f>'Hệ số'!D17</f>
        <v>0.08</v>
      </c>
      <c r="H221" s="484"/>
      <c r="I221" s="441"/>
      <c r="J221" s="484">
        <f>(J220)*G221</f>
        <v>44617.379231999999</v>
      </c>
      <c r="K221" s="874"/>
      <c r="L221" s="874"/>
      <c r="M221" s="874"/>
      <c r="N221" s="874"/>
      <c r="O221" s="874"/>
      <c r="P221" s="874"/>
      <c r="Q221" s="874"/>
      <c r="R221" s="874"/>
      <c r="S221" s="874"/>
      <c r="T221" s="874"/>
      <c r="U221" s="874"/>
      <c r="V221" s="874"/>
      <c r="W221" s="874"/>
      <c r="X221" s="874"/>
      <c r="Y221" s="874"/>
      <c r="Z221" s="874"/>
      <c r="AA221" s="874"/>
    </row>
    <row r="222" spans="1:27" x14ac:dyDescent="0.25">
      <c r="A222" s="468"/>
      <c r="B222" s="534"/>
      <c r="C222" s="638" t="s">
        <v>306</v>
      </c>
      <c r="D222" s="420" t="s">
        <v>306</v>
      </c>
      <c r="E222" s="438" t="s">
        <v>1316</v>
      </c>
      <c r="F222" s="698" t="s">
        <v>927</v>
      </c>
      <c r="G222" s="750"/>
      <c r="H222" s="128"/>
      <c r="I222" s="462"/>
      <c r="J222" s="880">
        <f>J220+J221</f>
        <v>602334.61963199999</v>
      </c>
      <c r="K222" s="874"/>
      <c r="L222" s="874"/>
      <c r="M222" s="874"/>
      <c r="N222" s="874"/>
      <c r="O222" s="874"/>
      <c r="P222" s="874"/>
      <c r="Q222" s="874"/>
      <c r="R222" s="874"/>
      <c r="S222" s="874"/>
      <c r="T222" s="874"/>
      <c r="U222" s="874"/>
      <c r="V222" s="874"/>
      <c r="W222" s="874"/>
      <c r="X222" s="874"/>
      <c r="Y222" s="874"/>
      <c r="Z222" s="874"/>
      <c r="AA222" s="874"/>
    </row>
    <row r="223" spans="1:27" x14ac:dyDescent="0.25">
      <c r="A223" s="895"/>
      <c r="B223" s="58">
        <v>15</v>
      </c>
      <c r="C223" s="137" t="str">
        <f>'Tiên lượng'!C30</f>
        <v>AF.82411</v>
      </c>
      <c r="D223" s="137" t="str">
        <f>'Tiên lượng'!C30</f>
        <v>AF.82411</v>
      </c>
      <c r="E223" s="693" t="str">
        <f>'Tiên lượng'!D30</f>
        <v>Ván khuôn thép mặt đường bê tông</v>
      </c>
      <c r="F223" s="58" t="str">
        <f>'Tiên lượng'!E30</f>
        <v>100m2</v>
      </c>
      <c r="G223" s="254"/>
      <c r="H223" s="194"/>
      <c r="I223" s="527"/>
      <c r="J223" s="194"/>
      <c r="K223" s="874"/>
      <c r="L223" s="874"/>
      <c r="M223" s="874"/>
      <c r="N223" s="874"/>
      <c r="O223" s="874"/>
      <c r="P223" s="874"/>
      <c r="Q223" s="874"/>
      <c r="R223" s="874"/>
      <c r="S223" s="874"/>
      <c r="T223" s="874"/>
      <c r="U223" s="874"/>
      <c r="V223" s="874"/>
      <c r="W223" s="874"/>
      <c r="X223" s="874"/>
      <c r="Y223" s="874"/>
      <c r="Z223" s="874"/>
      <c r="AA223" s="874"/>
    </row>
    <row r="224" spans="1:27" x14ac:dyDescent="0.25">
      <c r="A224" s="129"/>
      <c r="B224" s="198"/>
      <c r="C224" s="810" t="s">
        <v>306</v>
      </c>
      <c r="D224" s="810" t="s">
        <v>306</v>
      </c>
      <c r="E224" s="473" t="s">
        <v>1372</v>
      </c>
      <c r="F224" s="198" t="s">
        <v>479</v>
      </c>
      <c r="G224" s="32"/>
      <c r="H224" s="333"/>
      <c r="I224" s="671"/>
      <c r="J224" s="333">
        <f>SUM(J225:J227)</f>
        <v>582442.17038946901</v>
      </c>
      <c r="K224" s="874"/>
      <c r="L224" s="874"/>
      <c r="M224" s="874"/>
      <c r="N224" s="874"/>
      <c r="O224" s="874"/>
      <c r="P224" s="874"/>
      <c r="Q224" s="874"/>
      <c r="R224" s="874"/>
      <c r="S224" s="874"/>
      <c r="T224" s="874"/>
      <c r="U224" s="874"/>
      <c r="V224" s="874"/>
      <c r="W224" s="874"/>
      <c r="X224" s="874"/>
      <c r="Y224" s="874"/>
      <c r="Z224" s="874"/>
      <c r="AA224" s="874"/>
    </row>
    <row r="225" spans="1:27" x14ac:dyDescent="0.25">
      <c r="A225" s="813"/>
      <c r="B225" s="870"/>
      <c r="C225" s="66" t="s">
        <v>306</v>
      </c>
      <c r="D225" s="774" t="s">
        <v>379</v>
      </c>
      <c r="E225" s="649" t="str">
        <f>" - " &amp; 'Giá VL'!E18</f>
        <v xml:space="preserve"> - Thép hình, thép tấm</v>
      </c>
      <c r="F225" s="870" t="str">
        <f>'Giá VL'!F18</f>
        <v>kg</v>
      </c>
      <c r="G225" s="725">
        <f>PTVT!G94</f>
        <v>31.5</v>
      </c>
      <c r="H225" s="484">
        <f>'Giá VL'!V18</f>
        <v>16380.8517124556</v>
      </c>
      <c r="I225" s="441">
        <f>'Tiên lượng'!V30</f>
        <v>1</v>
      </c>
      <c r="J225" s="484">
        <f t="shared" ref="J225:J227" si="5">PRODUCT(G225,H225,I225)</f>
        <v>515996.82894235139</v>
      </c>
      <c r="K225" s="874"/>
      <c r="L225" s="874"/>
      <c r="M225" s="874"/>
      <c r="N225" s="874"/>
      <c r="O225" s="874"/>
      <c r="P225" s="874"/>
      <c r="Q225" s="874"/>
      <c r="R225" s="874"/>
      <c r="S225" s="874"/>
      <c r="T225" s="874"/>
      <c r="U225" s="874"/>
      <c r="V225" s="874"/>
      <c r="W225" s="874"/>
      <c r="X225" s="874"/>
      <c r="Y225" s="874"/>
      <c r="Z225" s="874"/>
      <c r="AA225" s="874"/>
    </row>
    <row r="226" spans="1:27" x14ac:dyDescent="0.25">
      <c r="A226" s="813"/>
      <c r="B226" s="870"/>
      <c r="C226" s="66" t="s">
        <v>306</v>
      </c>
      <c r="D226" s="774" t="s">
        <v>218</v>
      </c>
      <c r="E226" s="649" t="str">
        <f>" - " &amp; 'Giá VL'!E17</f>
        <v xml:space="preserve"> - Que hàn</v>
      </c>
      <c r="F226" s="870" t="str">
        <f>'Giá VL'!F17</f>
        <v>kg</v>
      </c>
      <c r="G226" s="725">
        <f>PTVT!G95</f>
        <v>1.58</v>
      </c>
      <c r="H226" s="484">
        <f>'Giá VL'!V17</f>
        <v>24500</v>
      </c>
      <c r="I226" s="441">
        <f>'Tiên lượng'!V30</f>
        <v>1</v>
      </c>
      <c r="J226" s="484">
        <f t="shared" si="5"/>
        <v>38710</v>
      </c>
      <c r="K226" s="874"/>
      <c r="L226" s="874"/>
      <c r="M226" s="874"/>
      <c r="N226" s="874"/>
      <c r="O226" s="874"/>
      <c r="P226" s="874"/>
      <c r="Q226" s="874"/>
      <c r="R226" s="874"/>
      <c r="S226" s="874"/>
      <c r="T226" s="874"/>
      <c r="U226" s="874"/>
      <c r="V226" s="874"/>
      <c r="W226" s="874"/>
      <c r="X226" s="874"/>
      <c r="Y226" s="874"/>
      <c r="Z226" s="874"/>
      <c r="AA226" s="874"/>
    </row>
    <row r="227" spans="1:27" x14ac:dyDescent="0.25">
      <c r="A227" s="813"/>
      <c r="B227" s="870"/>
      <c r="C227" s="66" t="s">
        <v>306</v>
      </c>
      <c r="D227" s="774" t="s">
        <v>429</v>
      </c>
      <c r="E227" s="649" t="s">
        <v>987</v>
      </c>
      <c r="F227" s="870" t="s">
        <v>1086</v>
      </c>
      <c r="G227" s="725">
        <f>PTVT!G96</f>
        <v>5</v>
      </c>
      <c r="H227" s="484">
        <f>IF('Tiên lượng'!V30&lt;&gt;0,SUM(J225:J226)/100/'Tiên lượng'!V30,0)</f>
        <v>5547.0682894235142</v>
      </c>
      <c r="I227" s="441">
        <f>'Tiên lượng'!V30</f>
        <v>1</v>
      </c>
      <c r="J227" s="484">
        <f t="shared" si="5"/>
        <v>27735.341447117571</v>
      </c>
      <c r="K227" s="874"/>
      <c r="L227" s="874"/>
      <c r="M227" s="874"/>
      <c r="N227" s="874"/>
      <c r="O227" s="874"/>
      <c r="P227" s="874"/>
      <c r="Q227" s="874"/>
      <c r="R227" s="874"/>
      <c r="S227" s="874"/>
      <c r="T227" s="874"/>
      <c r="U227" s="874"/>
      <c r="V227" s="874"/>
      <c r="W227" s="874"/>
      <c r="X227" s="874"/>
      <c r="Y227" s="874"/>
      <c r="Z227" s="874"/>
      <c r="AA227" s="874"/>
    </row>
    <row r="228" spans="1:27" x14ac:dyDescent="0.25">
      <c r="A228" s="129"/>
      <c r="B228" s="198"/>
      <c r="C228" s="810" t="s">
        <v>306</v>
      </c>
      <c r="D228" s="810" t="s">
        <v>306</v>
      </c>
      <c r="E228" s="473" t="s">
        <v>890</v>
      </c>
      <c r="F228" s="198" t="s">
        <v>125</v>
      </c>
      <c r="G228" s="32"/>
      <c r="H228" s="333"/>
      <c r="I228" s="671"/>
      <c r="J228" s="333">
        <f>SUM(J229:J229)</f>
        <v>3370558</v>
      </c>
      <c r="K228" s="874"/>
      <c r="L228" s="874"/>
      <c r="M228" s="874"/>
      <c r="N228" s="874"/>
      <c r="O228" s="874"/>
      <c r="P228" s="874"/>
      <c r="Q228" s="874"/>
      <c r="R228" s="874"/>
      <c r="S228" s="874"/>
      <c r="T228" s="874"/>
      <c r="U228" s="874"/>
      <c r="V228" s="874"/>
      <c r="W228" s="874"/>
      <c r="X228" s="874"/>
      <c r="Y228" s="874"/>
      <c r="Z228" s="874"/>
      <c r="AA228" s="874"/>
    </row>
    <row r="229" spans="1:27" x14ac:dyDescent="0.25">
      <c r="A229" s="813"/>
      <c r="B229" s="870"/>
      <c r="C229" s="66" t="s">
        <v>306</v>
      </c>
      <c r="D229" s="774" t="s">
        <v>1295</v>
      </c>
      <c r="E229" s="649" t="str">
        <f>" - " &amp; 'Giá NC'!E8</f>
        <v xml:space="preserve"> - Nhân công bậc 4,0/7 - Nhóm 2</v>
      </c>
      <c r="F229" s="870" t="str">
        <f>'Giá NC'!F8</f>
        <v>công</v>
      </c>
      <c r="G229" s="725">
        <f>PTVT!G98</f>
        <v>11.5</v>
      </c>
      <c r="H229" s="484">
        <f>'Giá NC'!K8</f>
        <v>293092</v>
      </c>
      <c r="I229" s="441">
        <f>'Tiên lượng'!W30</f>
        <v>1</v>
      </c>
      <c r="J229" s="484">
        <f>PRODUCT(G229,H229,I229)</f>
        <v>3370558</v>
      </c>
      <c r="K229" s="874"/>
      <c r="L229" s="874"/>
      <c r="M229" s="874"/>
      <c r="N229" s="874"/>
      <c r="O229" s="874"/>
      <c r="P229" s="874"/>
      <c r="Q229" s="874"/>
      <c r="R229" s="874"/>
      <c r="S229" s="874"/>
      <c r="T229" s="874"/>
      <c r="U229" s="874"/>
      <c r="V229" s="874"/>
      <c r="W229" s="874"/>
      <c r="X229" s="874"/>
      <c r="Y229" s="874"/>
      <c r="Z229" s="874"/>
      <c r="AA229" s="874"/>
    </row>
    <row r="230" spans="1:27" x14ac:dyDescent="0.25">
      <c r="A230" s="129"/>
      <c r="B230" s="198"/>
      <c r="C230" s="810" t="s">
        <v>306</v>
      </c>
      <c r="D230" s="810" t="s">
        <v>306</v>
      </c>
      <c r="E230" s="473" t="s">
        <v>556</v>
      </c>
      <c r="F230" s="198" t="s">
        <v>539</v>
      </c>
      <c r="G230" s="32"/>
      <c r="H230" s="333"/>
      <c r="I230" s="671"/>
      <c r="J230" s="333">
        <f>SUM(J231:J232)</f>
        <v>182920.80239999999</v>
      </c>
      <c r="K230" s="874"/>
      <c r="L230" s="874"/>
      <c r="M230" s="874"/>
      <c r="N230" s="874"/>
      <c r="O230" s="874"/>
      <c r="P230" s="874"/>
      <c r="Q230" s="874"/>
      <c r="R230" s="874"/>
      <c r="S230" s="874"/>
      <c r="T230" s="874"/>
      <c r="U230" s="874"/>
      <c r="V230" s="874"/>
      <c r="W230" s="874"/>
      <c r="X230" s="874"/>
      <c r="Y230" s="874"/>
      <c r="Z230" s="874"/>
      <c r="AA230" s="874"/>
    </row>
    <row r="231" spans="1:27" x14ac:dyDescent="0.25">
      <c r="A231" s="813"/>
      <c r="B231" s="870"/>
      <c r="C231" s="66" t="s">
        <v>306</v>
      </c>
      <c r="D231" s="774" t="s">
        <v>1203</v>
      </c>
      <c r="E231" s="649" t="str">
        <f>" - " &amp; 'Giá Máy'!E13</f>
        <v xml:space="preserve"> - Máy hàn điện 23kW</v>
      </c>
      <c r="F231" s="870" t="str">
        <f>'Giá Máy'!F13</f>
        <v>ca</v>
      </c>
      <c r="G231" s="725">
        <f>PTVT!G100</f>
        <v>0.42</v>
      </c>
      <c r="H231" s="484">
        <f>'Giá Máy'!O13</f>
        <v>426986</v>
      </c>
      <c r="I231" s="441">
        <f>'Tiên lượng'!X30</f>
        <v>1</v>
      </c>
      <c r="J231" s="484">
        <f t="shared" ref="J231:J232" si="6">PRODUCT(G231,H231,I231)</f>
        <v>179334.12</v>
      </c>
      <c r="K231" s="874"/>
      <c r="L231" s="874"/>
      <c r="M231" s="874"/>
      <c r="N231" s="874"/>
      <c r="O231" s="874"/>
      <c r="P231" s="874"/>
      <c r="Q231" s="874"/>
      <c r="R231" s="874"/>
      <c r="S231" s="874"/>
      <c r="T231" s="874"/>
      <c r="U231" s="874"/>
      <c r="V231" s="874"/>
      <c r="W231" s="874"/>
      <c r="X231" s="874"/>
      <c r="Y231" s="874"/>
      <c r="Z231" s="874"/>
      <c r="AA231" s="874"/>
    </row>
    <row r="232" spans="1:27" x14ac:dyDescent="0.25">
      <c r="A232" s="813"/>
      <c r="B232" s="870"/>
      <c r="C232" s="66" t="s">
        <v>306</v>
      </c>
      <c r="D232" s="774" t="s">
        <v>760</v>
      </c>
      <c r="E232" s="649" t="s">
        <v>830</v>
      </c>
      <c r="F232" s="870" t="s">
        <v>1086</v>
      </c>
      <c r="G232" s="725">
        <f>PTVT!G101</f>
        <v>2</v>
      </c>
      <c r="H232" s="484">
        <f>IF('Tiên lượng'!X30&lt;&gt;0,SUM(J231:J231)/100/'Tiên lượng'!X30,0)</f>
        <v>1793.3411999999998</v>
      </c>
      <c r="I232" s="441">
        <f>'Tiên lượng'!X30</f>
        <v>1</v>
      </c>
      <c r="J232" s="484">
        <f t="shared" si="6"/>
        <v>3586.6823999999997</v>
      </c>
      <c r="K232" s="874"/>
      <c r="L232" s="874"/>
      <c r="M232" s="874"/>
      <c r="N232" s="874"/>
      <c r="O232" s="874"/>
      <c r="P232" s="874"/>
      <c r="Q232" s="874"/>
      <c r="R232" s="874"/>
      <c r="S232" s="874"/>
      <c r="T232" s="874"/>
      <c r="U232" s="874"/>
      <c r="V232" s="874"/>
      <c r="W232" s="874"/>
      <c r="X232" s="874"/>
      <c r="Y232" s="874"/>
      <c r="Z232" s="874"/>
      <c r="AA232" s="874"/>
    </row>
    <row r="233" spans="1:27" x14ac:dyDescent="0.25">
      <c r="A233" s="813"/>
      <c r="B233" s="870"/>
      <c r="C233" s="66" t="s">
        <v>306</v>
      </c>
      <c r="D233" s="774" t="s">
        <v>306</v>
      </c>
      <c r="E233" s="649" t="s">
        <v>1211</v>
      </c>
      <c r="F233" s="870" t="s">
        <v>969</v>
      </c>
      <c r="G233" s="735"/>
      <c r="H233" s="484"/>
      <c r="I233" s="441"/>
      <c r="J233" s="484">
        <f>J224+J228+J230</f>
        <v>4135920.9727894687</v>
      </c>
      <c r="K233" s="874"/>
      <c r="L233" s="874"/>
      <c r="M233" s="874"/>
      <c r="N233" s="874"/>
      <c r="O233" s="874"/>
      <c r="P233" s="874"/>
      <c r="Q233" s="874"/>
      <c r="R233" s="874"/>
      <c r="S233" s="874"/>
      <c r="T233" s="874"/>
      <c r="U233" s="874"/>
      <c r="V233" s="874"/>
      <c r="W233" s="874"/>
      <c r="X233" s="874"/>
      <c r="Y233" s="874"/>
      <c r="Z233" s="874"/>
      <c r="AA233" s="874"/>
    </row>
    <row r="234" spans="1:27" x14ac:dyDescent="0.25">
      <c r="A234" s="813"/>
      <c r="B234" s="870"/>
      <c r="C234" s="66" t="s">
        <v>306</v>
      </c>
      <c r="D234" s="774" t="s">
        <v>306</v>
      </c>
      <c r="E234" s="649" t="s">
        <v>581</v>
      </c>
      <c r="F234" s="870" t="s">
        <v>892</v>
      </c>
      <c r="G234" s="694">
        <f>'Hệ số'!D5</f>
        <v>6.2E-2</v>
      </c>
      <c r="H234" s="484"/>
      <c r="I234" s="441"/>
      <c r="J234" s="484">
        <f>(J233)*G234</f>
        <v>256427.10031294706</v>
      </c>
      <c r="K234" s="874"/>
      <c r="L234" s="874"/>
      <c r="M234" s="874"/>
      <c r="N234" s="874"/>
      <c r="O234" s="874"/>
      <c r="P234" s="874"/>
      <c r="Q234" s="874"/>
      <c r="R234" s="874"/>
      <c r="S234" s="874"/>
      <c r="T234" s="874"/>
      <c r="U234" s="874"/>
      <c r="V234" s="874"/>
      <c r="W234" s="874"/>
      <c r="X234" s="874"/>
      <c r="Y234" s="874"/>
      <c r="Z234" s="874"/>
      <c r="AA234" s="874"/>
    </row>
    <row r="235" spans="1:27" x14ac:dyDescent="0.25">
      <c r="A235" s="813"/>
      <c r="B235" s="870"/>
      <c r="C235" s="66" t="s">
        <v>306</v>
      </c>
      <c r="D235" s="774" t="s">
        <v>306</v>
      </c>
      <c r="E235" s="649" t="s">
        <v>634</v>
      </c>
      <c r="F235" s="870" t="s">
        <v>997</v>
      </c>
      <c r="G235" s="694">
        <f>'Hệ số'!D11</f>
        <v>1.1000000000000001E-2</v>
      </c>
      <c r="H235" s="484"/>
      <c r="I235" s="441"/>
      <c r="J235" s="484">
        <f>(J233)*G235</f>
        <v>45495.13070068416</v>
      </c>
      <c r="K235" s="874"/>
      <c r="L235" s="874"/>
      <c r="M235" s="874"/>
      <c r="N235" s="874"/>
      <c r="O235" s="874"/>
      <c r="P235" s="874"/>
      <c r="Q235" s="874"/>
      <c r="R235" s="874"/>
      <c r="S235" s="874"/>
      <c r="T235" s="874"/>
      <c r="U235" s="874"/>
      <c r="V235" s="874"/>
      <c r="W235" s="874"/>
      <c r="X235" s="874"/>
      <c r="Y235" s="874"/>
      <c r="Z235" s="874"/>
      <c r="AA235" s="874"/>
    </row>
    <row r="236" spans="1:27" ht="30" x14ac:dyDescent="0.25">
      <c r="A236" s="813"/>
      <c r="B236" s="870"/>
      <c r="C236" s="66" t="s">
        <v>306</v>
      </c>
      <c r="D236" s="774" t="s">
        <v>306</v>
      </c>
      <c r="E236" s="649" t="s">
        <v>51</v>
      </c>
      <c r="F236" s="870" t="s">
        <v>172</v>
      </c>
      <c r="G236" s="319">
        <f>'Hệ số'!D8</f>
        <v>0.02</v>
      </c>
      <c r="H236" s="484"/>
      <c r="I236" s="441"/>
      <c r="J236" s="484">
        <f>(J233)*G236</f>
        <v>82718.419455789379</v>
      </c>
      <c r="K236" s="874"/>
      <c r="L236" s="874"/>
      <c r="M236" s="874"/>
      <c r="N236" s="874"/>
      <c r="O236" s="874"/>
      <c r="P236" s="874"/>
      <c r="Q236" s="874"/>
      <c r="R236" s="874"/>
      <c r="S236" s="874"/>
      <c r="T236" s="874"/>
      <c r="U236" s="874"/>
      <c r="V236" s="874"/>
      <c r="W236" s="874"/>
      <c r="X236" s="874"/>
      <c r="Y236" s="874"/>
      <c r="Z236" s="874"/>
      <c r="AA236" s="874"/>
    </row>
    <row r="237" spans="1:27" x14ac:dyDescent="0.25">
      <c r="A237" s="813"/>
      <c r="B237" s="870"/>
      <c r="C237" s="66" t="s">
        <v>306</v>
      </c>
      <c r="D237" s="774" t="s">
        <v>306</v>
      </c>
      <c r="E237" s="649" t="s">
        <v>4</v>
      </c>
      <c r="F237" s="870" t="s">
        <v>1074</v>
      </c>
      <c r="G237" s="735"/>
      <c r="H237" s="484"/>
      <c r="I237" s="441"/>
      <c r="J237" s="484">
        <f>J234+J235+J236</f>
        <v>384640.65046942059</v>
      </c>
      <c r="K237" s="874"/>
      <c r="L237" s="874"/>
      <c r="M237" s="874"/>
      <c r="N237" s="874"/>
      <c r="O237" s="874"/>
      <c r="P237" s="874"/>
      <c r="Q237" s="874"/>
      <c r="R237" s="874"/>
      <c r="S237" s="874"/>
      <c r="T237" s="874"/>
      <c r="U237" s="874"/>
      <c r="V237" s="874"/>
      <c r="W237" s="874"/>
      <c r="X237" s="874"/>
      <c r="Y237" s="874"/>
      <c r="Z237" s="874"/>
      <c r="AA237" s="874"/>
    </row>
    <row r="238" spans="1:27" ht="30" x14ac:dyDescent="0.25">
      <c r="A238" s="813"/>
      <c r="B238" s="870"/>
      <c r="C238" s="66" t="s">
        <v>306</v>
      </c>
      <c r="D238" s="774" t="s">
        <v>306</v>
      </c>
      <c r="E238" s="649" t="s">
        <v>926</v>
      </c>
      <c r="F238" s="870" t="s">
        <v>877</v>
      </c>
      <c r="G238" s="319">
        <f>'Hệ số'!D15</f>
        <v>0.06</v>
      </c>
      <c r="H238" s="484"/>
      <c r="I238" s="441"/>
      <c r="J238" s="484">
        <f>(J233+J237)*G238</f>
        <v>271233.69739553338</v>
      </c>
      <c r="K238" s="874"/>
      <c r="L238" s="874"/>
      <c r="M238" s="874"/>
      <c r="N238" s="874"/>
      <c r="O238" s="874"/>
      <c r="P238" s="874"/>
      <c r="Q238" s="874"/>
      <c r="R238" s="874"/>
      <c r="S238" s="874"/>
      <c r="T238" s="874"/>
      <c r="U238" s="874"/>
      <c r="V238" s="874"/>
      <c r="W238" s="874"/>
      <c r="X238" s="874"/>
      <c r="Y238" s="874"/>
      <c r="Z238" s="874"/>
      <c r="AA238" s="874"/>
    </row>
    <row r="239" spans="1:27" x14ac:dyDescent="0.25">
      <c r="A239" s="813"/>
      <c r="B239" s="870"/>
      <c r="C239" s="66" t="s">
        <v>306</v>
      </c>
      <c r="D239" s="774" t="s">
        <v>306</v>
      </c>
      <c r="E239" s="421" t="s">
        <v>699</v>
      </c>
      <c r="F239" s="143" t="s">
        <v>516</v>
      </c>
      <c r="G239" s="735"/>
      <c r="H239" s="484"/>
      <c r="I239" s="441"/>
      <c r="J239" s="270">
        <f>J233+J237+J238</f>
        <v>4791795.320654423</v>
      </c>
      <c r="K239" s="874"/>
      <c r="L239" s="874"/>
      <c r="M239" s="874"/>
      <c r="N239" s="874"/>
      <c r="O239" s="874"/>
      <c r="P239" s="874"/>
      <c r="Q239" s="874"/>
      <c r="R239" s="874"/>
      <c r="S239" s="874"/>
      <c r="T239" s="874"/>
      <c r="U239" s="874"/>
      <c r="V239" s="874"/>
      <c r="W239" s="874"/>
      <c r="X239" s="874"/>
      <c r="Y239" s="874"/>
      <c r="Z239" s="874"/>
      <c r="AA239" s="874"/>
    </row>
    <row r="240" spans="1:27" x14ac:dyDescent="0.25">
      <c r="A240" s="813"/>
      <c r="B240" s="870"/>
      <c r="C240" s="66" t="s">
        <v>306</v>
      </c>
      <c r="D240" s="774" t="s">
        <v>306</v>
      </c>
      <c r="E240" s="649" t="s">
        <v>1117</v>
      </c>
      <c r="F240" s="870" t="s">
        <v>447</v>
      </c>
      <c r="G240" s="319">
        <f>'Hệ số'!D17</f>
        <v>0.08</v>
      </c>
      <c r="H240" s="484"/>
      <c r="I240" s="441"/>
      <c r="J240" s="484">
        <f>(J239)*G240</f>
        <v>383343.62565235386</v>
      </c>
      <c r="K240" s="874"/>
      <c r="L240" s="874"/>
      <c r="M240" s="874"/>
      <c r="N240" s="874"/>
      <c r="O240" s="874"/>
      <c r="P240" s="874"/>
      <c r="Q240" s="874"/>
      <c r="R240" s="874"/>
      <c r="S240" s="874"/>
      <c r="T240" s="874"/>
      <c r="U240" s="874"/>
      <c r="V240" s="874"/>
      <c r="W240" s="874"/>
      <c r="X240" s="874"/>
      <c r="Y240" s="874"/>
      <c r="Z240" s="874"/>
      <c r="AA240" s="874"/>
    </row>
    <row r="241" spans="1:27" x14ac:dyDescent="0.25">
      <c r="A241" s="468"/>
      <c r="B241" s="534"/>
      <c r="C241" s="638" t="s">
        <v>306</v>
      </c>
      <c r="D241" s="420" t="s">
        <v>306</v>
      </c>
      <c r="E241" s="438" t="s">
        <v>1316</v>
      </c>
      <c r="F241" s="698" t="s">
        <v>927</v>
      </c>
      <c r="G241" s="750"/>
      <c r="H241" s="128"/>
      <c r="I241" s="462"/>
      <c r="J241" s="880">
        <f>J239+J240</f>
        <v>5175138.9463067772</v>
      </c>
      <c r="K241" s="874"/>
      <c r="L241" s="874"/>
      <c r="M241" s="874"/>
      <c r="N241" s="874"/>
      <c r="O241" s="874"/>
      <c r="P241" s="874"/>
      <c r="Q241" s="874"/>
      <c r="R241" s="874"/>
      <c r="S241" s="874"/>
      <c r="T241" s="874"/>
      <c r="U241" s="874"/>
      <c r="V241" s="874"/>
      <c r="W241" s="874"/>
      <c r="X241" s="874"/>
      <c r="Y241" s="874"/>
      <c r="Z241" s="874"/>
      <c r="AA241" s="874"/>
    </row>
    <row r="242" spans="1:27" ht="60" x14ac:dyDescent="0.25">
      <c r="A242" s="895"/>
      <c r="B242" s="58">
        <v>16</v>
      </c>
      <c r="C242" s="137" t="str">
        <f>'Tiên lượng'!C32</f>
        <v>AF.15434A</v>
      </c>
      <c r="D242" s="137" t="str">
        <f>'Tiên lượng'!C32</f>
        <v>AF.15434A</v>
      </c>
      <c r="E242" s="693" t="str">
        <f>'Tiên lượng'!D32</f>
        <v>Bê tông sản xuất bằng máy trộn và đổ bằng thủ công, bê tông mặt đường dày mặt đường ≤25cm, bê tông M250, đá 2x4, PCB30</v>
      </c>
      <c r="F242" s="58" t="str">
        <f>'Tiên lượng'!E32</f>
        <v>m3</v>
      </c>
      <c r="G242" s="254"/>
      <c r="H242" s="194"/>
      <c r="I242" s="527"/>
      <c r="J242" s="194"/>
      <c r="K242" s="874"/>
      <c r="L242" s="874"/>
      <c r="M242" s="874"/>
      <c r="N242" s="874"/>
      <c r="O242" s="874"/>
      <c r="P242" s="874"/>
      <c r="Q242" s="874"/>
      <c r="R242" s="874"/>
      <c r="S242" s="874"/>
      <c r="T242" s="874"/>
      <c r="U242" s="874"/>
      <c r="V242" s="874"/>
      <c r="W242" s="874"/>
      <c r="X242" s="874"/>
      <c r="Y242" s="874"/>
      <c r="Z242" s="874"/>
      <c r="AA242" s="874"/>
    </row>
    <row r="243" spans="1:27" x14ac:dyDescent="0.25">
      <c r="A243" s="129"/>
      <c r="B243" s="198"/>
      <c r="C243" s="810" t="s">
        <v>306</v>
      </c>
      <c r="D243" s="810" t="s">
        <v>306</v>
      </c>
      <c r="E243" s="473" t="s">
        <v>1372</v>
      </c>
      <c r="F243" s="198" t="s">
        <v>479</v>
      </c>
      <c r="G243" s="32"/>
      <c r="H243" s="333"/>
      <c r="I243" s="671"/>
      <c r="J243" s="333">
        <f>SUM(J244:J250)</f>
        <v>1566233.024253645</v>
      </c>
      <c r="K243" s="874"/>
      <c r="L243" s="874"/>
      <c r="M243" s="874"/>
      <c r="N243" s="874"/>
      <c r="O243" s="874"/>
      <c r="P243" s="874"/>
      <c r="Q243" s="874"/>
      <c r="R243" s="874"/>
      <c r="S243" s="874"/>
      <c r="T243" s="874"/>
      <c r="U243" s="874"/>
      <c r="V243" s="874"/>
      <c r="W243" s="874"/>
      <c r="X243" s="874"/>
      <c r="Y243" s="874"/>
      <c r="Z243" s="874"/>
      <c r="AA243" s="874"/>
    </row>
    <row r="244" spans="1:27" x14ac:dyDescent="0.25">
      <c r="A244" s="813"/>
      <c r="B244" s="870"/>
      <c r="C244" s="66" t="s">
        <v>306</v>
      </c>
      <c r="D244" s="774" t="s">
        <v>762</v>
      </c>
      <c r="E244" s="649" t="str">
        <f>" - " &amp; 'Giá VL'!E19</f>
        <v xml:space="preserve"> - Xi măng PCB30</v>
      </c>
      <c r="F244" s="870" t="str">
        <f>'Giá VL'!F19</f>
        <v>kg</v>
      </c>
      <c r="G244" s="725">
        <f>PTVT!G104</f>
        <v>348.5</v>
      </c>
      <c r="H244" s="484">
        <f>'Giá VL'!V19</f>
        <v>1705.1648223132001</v>
      </c>
      <c r="I244" s="441">
        <f>'Tiên lượng'!V32</f>
        <v>1</v>
      </c>
      <c r="J244" s="484">
        <f t="shared" ref="J244:J250" si="7">PRODUCT(G244,H244,I244)</f>
        <v>594249.9405761502</v>
      </c>
      <c r="K244" s="874"/>
      <c r="L244" s="874"/>
      <c r="M244" s="874"/>
      <c r="N244" s="874"/>
      <c r="O244" s="874"/>
      <c r="P244" s="874"/>
      <c r="Q244" s="874"/>
      <c r="R244" s="874"/>
      <c r="S244" s="874"/>
      <c r="T244" s="874"/>
      <c r="U244" s="874"/>
      <c r="V244" s="874"/>
      <c r="W244" s="874"/>
      <c r="X244" s="874"/>
      <c r="Y244" s="874"/>
      <c r="Z244" s="874"/>
      <c r="AA244" s="874"/>
    </row>
    <row r="245" spans="1:27" x14ac:dyDescent="0.25">
      <c r="A245" s="813"/>
      <c r="B245" s="870"/>
      <c r="C245" s="66" t="s">
        <v>306</v>
      </c>
      <c r="D245" s="774" t="s">
        <v>95</v>
      </c>
      <c r="E245" s="649" t="str">
        <f>" - " &amp; 'Giá VL'!E9</f>
        <v xml:space="preserve"> - Cát vàng</v>
      </c>
      <c r="F245" s="870" t="str">
        <f>'Giá VL'!F9</f>
        <v>m3</v>
      </c>
      <c r="G245" s="725">
        <f>PTVT!G105</f>
        <v>0.52992499999999998</v>
      </c>
      <c r="H245" s="484">
        <f>'Giá VL'!V9</f>
        <v>938105.03993760003</v>
      </c>
      <c r="I245" s="441">
        <f>'Tiên lượng'!V32</f>
        <v>1</v>
      </c>
      <c r="J245" s="484">
        <f t="shared" si="7"/>
        <v>497125.31328893267</v>
      </c>
      <c r="K245" s="874"/>
      <c r="L245" s="874"/>
      <c r="M245" s="874"/>
      <c r="N245" s="874"/>
      <c r="O245" s="874"/>
      <c r="P245" s="874"/>
      <c r="Q245" s="874"/>
      <c r="R245" s="874"/>
      <c r="S245" s="874"/>
      <c r="T245" s="874"/>
      <c r="U245" s="874"/>
      <c r="V245" s="874"/>
      <c r="W245" s="874"/>
      <c r="X245" s="874"/>
      <c r="Y245" s="874"/>
      <c r="Z245" s="874"/>
      <c r="AA245" s="874"/>
    </row>
    <row r="246" spans="1:27" x14ac:dyDescent="0.25">
      <c r="A246" s="813"/>
      <c r="B246" s="870"/>
      <c r="C246" s="66" t="s">
        <v>306</v>
      </c>
      <c r="D246" s="774" t="s">
        <v>193</v>
      </c>
      <c r="E246" s="649" t="str">
        <f>" - " &amp; 'Giá VL'!E10</f>
        <v xml:space="preserve"> - Đá 2x4</v>
      </c>
      <c r="F246" s="870" t="str">
        <f>'Giá VL'!F10</f>
        <v>m3</v>
      </c>
      <c r="G246" s="725">
        <f>PTVT!G106</f>
        <v>0.85997500000000004</v>
      </c>
      <c r="H246" s="484">
        <f>'Giá VL'!V10</f>
        <v>426476.16578799998</v>
      </c>
      <c r="I246" s="441">
        <f>'Tiên lượng'!V32</f>
        <v>1</v>
      </c>
      <c r="J246" s="484">
        <f t="shared" si="7"/>
        <v>366758.84067353531</v>
      </c>
      <c r="K246" s="874"/>
      <c r="L246" s="874"/>
      <c r="M246" s="874"/>
      <c r="N246" s="874"/>
      <c r="O246" s="874"/>
      <c r="P246" s="874"/>
      <c r="Q246" s="874"/>
      <c r="R246" s="874"/>
      <c r="S246" s="874"/>
      <c r="T246" s="874"/>
      <c r="U246" s="874"/>
      <c r="V246" s="874"/>
      <c r="W246" s="874"/>
      <c r="X246" s="874"/>
      <c r="Y246" s="874"/>
      <c r="Z246" s="874"/>
      <c r="AA246" s="874"/>
    </row>
    <row r="247" spans="1:27" x14ac:dyDescent="0.25">
      <c r="A247" s="813"/>
      <c r="B247" s="870"/>
      <c r="C247" s="66" t="s">
        <v>306</v>
      </c>
      <c r="D247" s="774" t="s">
        <v>135</v>
      </c>
      <c r="E247" s="649" t="str">
        <f>" - " &amp; 'Giá VL'!E15</f>
        <v xml:space="preserve"> - Nước</v>
      </c>
      <c r="F247" s="870" t="str">
        <f>'Giá VL'!F15</f>
        <v>lít</v>
      </c>
      <c r="G247" s="725">
        <f>PTVT!G107</f>
        <v>177.32499999999999</v>
      </c>
      <c r="H247" s="484">
        <f>'Giá VL'!V15</f>
        <v>15</v>
      </c>
      <c r="I247" s="441">
        <f>'Tiên lượng'!V32</f>
        <v>1</v>
      </c>
      <c r="J247" s="484">
        <f t="shared" si="7"/>
        <v>2659.875</v>
      </c>
      <c r="K247" s="874"/>
      <c r="L247" s="874"/>
      <c r="M247" s="874"/>
      <c r="N247" s="874"/>
      <c r="O247" s="874"/>
      <c r="P247" s="874"/>
      <c r="Q247" s="874"/>
      <c r="R247" s="874"/>
      <c r="S247" s="874"/>
      <c r="T247" s="874"/>
      <c r="U247" s="874"/>
      <c r="V247" s="874"/>
      <c r="W247" s="874"/>
      <c r="X247" s="874"/>
      <c r="Y247" s="874"/>
      <c r="Z247" s="874"/>
      <c r="AA247" s="874"/>
    </row>
    <row r="248" spans="1:27" x14ac:dyDescent="0.25">
      <c r="A248" s="813"/>
      <c r="B248" s="870"/>
      <c r="C248" s="66" t="s">
        <v>306</v>
      </c>
      <c r="D248" s="774" t="s">
        <v>491</v>
      </c>
      <c r="E248" s="649" t="str">
        <f>" - " &amp; 'Giá VL'!E12</f>
        <v xml:space="preserve"> - Gỗ làm khe co dãn</v>
      </c>
      <c r="F248" s="870" t="str">
        <f>'Giá VL'!F12</f>
        <v>m3</v>
      </c>
      <c r="G248" s="725">
        <f>PTVT!G108</f>
        <v>0</v>
      </c>
      <c r="H248" s="484">
        <f>'Giá VL'!V12</f>
        <v>2884202.0708116</v>
      </c>
      <c r="I248" s="441">
        <f>'Tiên lượng'!V32</f>
        <v>1</v>
      </c>
      <c r="J248" s="484">
        <f t="shared" si="7"/>
        <v>0</v>
      </c>
      <c r="K248" s="874"/>
      <c r="L248" s="874"/>
      <c r="M248" s="874"/>
      <c r="N248" s="874"/>
      <c r="O248" s="874"/>
      <c r="P248" s="874"/>
      <c r="Q248" s="874"/>
      <c r="R248" s="874"/>
      <c r="S248" s="874"/>
      <c r="T248" s="874"/>
      <c r="U248" s="874"/>
      <c r="V248" s="874"/>
      <c r="W248" s="874"/>
      <c r="X248" s="874"/>
      <c r="Y248" s="874"/>
      <c r="Z248" s="874"/>
      <c r="AA248" s="874"/>
    </row>
    <row r="249" spans="1:27" x14ac:dyDescent="0.25">
      <c r="A249" s="813"/>
      <c r="B249" s="870"/>
      <c r="C249" s="66" t="s">
        <v>306</v>
      </c>
      <c r="D249" s="774" t="s">
        <v>138</v>
      </c>
      <c r="E249" s="649" t="str">
        <f>" - " &amp; 'Giá VL'!E14</f>
        <v xml:space="preserve"> - Nhựa đường</v>
      </c>
      <c r="F249" s="870" t="str">
        <f>'Giá VL'!F14</f>
        <v>kg</v>
      </c>
      <c r="G249" s="725">
        <f>PTVT!G109</f>
        <v>3.5</v>
      </c>
      <c r="H249" s="484">
        <f>'Giá VL'!V14</f>
        <v>23512.2153897108</v>
      </c>
      <c r="I249" s="441">
        <f>'Tiên lượng'!V32</f>
        <v>1</v>
      </c>
      <c r="J249" s="484">
        <f t="shared" si="7"/>
        <v>82292.753863987804</v>
      </c>
      <c r="K249" s="874"/>
      <c r="L249" s="874"/>
      <c r="M249" s="874"/>
      <c r="N249" s="874"/>
      <c r="O249" s="874"/>
      <c r="P249" s="874"/>
      <c r="Q249" s="874"/>
      <c r="R249" s="874"/>
      <c r="S249" s="874"/>
      <c r="T249" s="874"/>
      <c r="U249" s="874"/>
      <c r="V249" s="874"/>
      <c r="W249" s="874"/>
      <c r="X249" s="874"/>
      <c r="Y249" s="874"/>
      <c r="Z249" s="874"/>
      <c r="AA249" s="874"/>
    </row>
    <row r="250" spans="1:27" x14ac:dyDescent="0.25">
      <c r="A250" s="813"/>
      <c r="B250" s="870"/>
      <c r="C250" s="66" t="s">
        <v>306</v>
      </c>
      <c r="D250" s="774" t="s">
        <v>429</v>
      </c>
      <c r="E250" s="649" t="s">
        <v>506</v>
      </c>
      <c r="F250" s="870" t="s">
        <v>1086</v>
      </c>
      <c r="G250" s="725">
        <f>PTVT!G110</f>
        <v>1.5</v>
      </c>
      <c r="H250" s="484">
        <f>IF('Tiên lượng'!V32&lt;&gt;0,SUM(J244:J249)/100/'Tiên lượng'!V32,0)</f>
        <v>15430.867234026058</v>
      </c>
      <c r="I250" s="441">
        <f>'Tiên lượng'!V32</f>
        <v>1</v>
      </c>
      <c r="J250" s="484">
        <f t="shared" si="7"/>
        <v>23146.300851039086</v>
      </c>
      <c r="K250" s="874"/>
      <c r="L250" s="874"/>
      <c r="M250" s="874"/>
      <c r="N250" s="874"/>
      <c r="O250" s="874"/>
      <c r="P250" s="874"/>
      <c r="Q250" s="874"/>
      <c r="R250" s="874"/>
      <c r="S250" s="874"/>
      <c r="T250" s="874"/>
      <c r="U250" s="874"/>
      <c r="V250" s="874"/>
      <c r="W250" s="874"/>
      <c r="X250" s="874"/>
      <c r="Y250" s="874"/>
      <c r="Z250" s="874"/>
      <c r="AA250" s="874"/>
    </row>
    <row r="251" spans="1:27" x14ac:dyDescent="0.25">
      <c r="A251" s="129"/>
      <c r="B251" s="198"/>
      <c r="C251" s="810" t="s">
        <v>306</v>
      </c>
      <c r="D251" s="810" t="s">
        <v>306</v>
      </c>
      <c r="E251" s="473" t="s">
        <v>890</v>
      </c>
      <c r="F251" s="198" t="s">
        <v>125</v>
      </c>
      <c r="G251" s="32"/>
      <c r="H251" s="333"/>
      <c r="I251" s="671"/>
      <c r="J251" s="333">
        <f>SUM(J252:J252)</f>
        <v>369900</v>
      </c>
      <c r="K251" s="874"/>
      <c r="L251" s="874"/>
      <c r="M251" s="874"/>
      <c r="N251" s="874"/>
      <c r="O251" s="874"/>
      <c r="P251" s="874"/>
      <c r="Q251" s="874"/>
      <c r="R251" s="874"/>
      <c r="S251" s="874"/>
      <c r="T251" s="874"/>
      <c r="U251" s="874"/>
      <c r="V251" s="874"/>
      <c r="W251" s="874"/>
      <c r="X251" s="874"/>
      <c r="Y251" s="874"/>
      <c r="Z251" s="874"/>
      <c r="AA251" s="874"/>
    </row>
    <row r="252" spans="1:27" x14ac:dyDescent="0.25">
      <c r="A252" s="813"/>
      <c r="B252" s="870"/>
      <c r="C252" s="66" t="s">
        <v>306</v>
      </c>
      <c r="D252" s="774" t="s">
        <v>1055</v>
      </c>
      <c r="E252" s="649" t="str">
        <f>" - " &amp; 'Giá NC'!E7</f>
        <v xml:space="preserve"> - Nhân công bậc 3,5/7 - Nhóm 2</v>
      </c>
      <c r="F252" s="870" t="str">
        <f>'Giá NC'!F7</f>
        <v>công</v>
      </c>
      <c r="G252" s="725">
        <f>PTVT!G112</f>
        <v>1.37</v>
      </c>
      <c r="H252" s="484">
        <f>'Giá NC'!K7</f>
        <v>270000</v>
      </c>
      <c r="I252" s="441">
        <f>'Tiên lượng'!W32</f>
        <v>1</v>
      </c>
      <c r="J252" s="484">
        <f>PRODUCT(G252,H252,I252)</f>
        <v>369900</v>
      </c>
      <c r="K252" s="874"/>
      <c r="L252" s="874"/>
      <c r="M252" s="874"/>
      <c r="N252" s="874"/>
      <c r="O252" s="874"/>
      <c r="P252" s="874"/>
      <c r="Q252" s="874"/>
      <c r="R252" s="874"/>
      <c r="S252" s="874"/>
      <c r="T252" s="874"/>
      <c r="U252" s="874"/>
      <c r="V252" s="874"/>
      <c r="W252" s="874"/>
      <c r="X252" s="874"/>
      <c r="Y252" s="874"/>
      <c r="Z252" s="874"/>
      <c r="AA252" s="874"/>
    </row>
    <row r="253" spans="1:27" x14ac:dyDescent="0.25">
      <c r="A253" s="129"/>
      <c r="B253" s="198"/>
      <c r="C253" s="810" t="s">
        <v>306</v>
      </c>
      <c r="D253" s="810" t="s">
        <v>306</v>
      </c>
      <c r="E253" s="473" t="s">
        <v>556</v>
      </c>
      <c r="F253" s="198" t="s">
        <v>539</v>
      </c>
      <c r="G253" s="32"/>
      <c r="H253" s="333"/>
      <c r="I253" s="671"/>
      <c r="J253" s="333">
        <f>SUM(J254:J257)</f>
        <v>82287.9084</v>
      </c>
      <c r="K253" s="874"/>
      <c r="L253" s="874"/>
      <c r="M253" s="874"/>
      <c r="N253" s="874"/>
      <c r="O253" s="874"/>
      <c r="P253" s="874"/>
      <c r="Q253" s="874"/>
      <c r="R253" s="874"/>
      <c r="S253" s="874"/>
      <c r="T253" s="874"/>
      <c r="U253" s="874"/>
      <c r="V253" s="874"/>
      <c r="W253" s="874"/>
      <c r="X253" s="874"/>
      <c r="Y253" s="874"/>
      <c r="Z253" s="874"/>
      <c r="AA253" s="874"/>
    </row>
    <row r="254" spans="1:27" x14ac:dyDescent="0.25">
      <c r="A254" s="813"/>
      <c r="B254" s="870"/>
      <c r="C254" s="66" t="s">
        <v>306</v>
      </c>
      <c r="D254" s="774" t="s">
        <v>698</v>
      </c>
      <c r="E254" s="649" t="str">
        <f>" - " &amp; 'Giá Máy'!E16</f>
        <v xml:space="preserve"> - Máy trộn bê tông 250 lít</v>
      </c>
      <c r="F254" s="870" t="str">
        <f>'Giá Máy'!F16</f>
        <v>ca</v>
      </c>
      <c r="G254" s="725">
        <f>PTVT!G114</f>
        <v>9.5000000000000001E-2</v>
      </c>
      <c r="H254" s="484">
        <f>'Giá Máy'!O16</f>
        <v>326306</v>
      </c>
      <c r="I254" s="441">
        <f>'Tiên lượng'!X32</f>
        <v>1</v>
      </c>
      <c r="J254" s="484">
        <f t="shared" ref="J254:J257" si="8">PRODUCT(G254,H254,I254)</f>
        <v>30999.07</v>
      </c>
      <c r="K254" s="874"/>
      <c r="L254" s="874"/>
      <c r="M254" s="874"/>
      <c r="N254" s="874"/>
      <c r="O254" s="874"/>
      <c r="P254" s="874"/>
      <c r="Q254" s="874"/>
      <c r="R254" s="874"/>
      <c r="S254" s="874"/>
      <c r="T254" s="874"/>
      <c r="U254" s="874"/>
      <c r="V254" s="874"/>
      <c r="W254" s="874"/>
      <c r="X254" s="874"/>
      <c r="Y254" s="874"/>
      <c r="Z254" s="874"/>
      <c r="AA254" s="874"/>
    </row>
    <row r="255" spans="1:27" x14ac:dyDescent="0.25">
      <c r="A255" s="813"/>
      <c r="B255" s="870"/>
      <c r="C255" s="66" t="s">
        <v>306</v>
      </c>
      <c r="D255" s="774" t="s">
        <v>1395</v>
      </c>
      <c r="E255" s="649" t="str">
        <f>" - " &amp; 'Giá Máy'!E8</f>
        <v xml:space="preserve"> - Máy đầm bàn 1kW</v>
      </c>
      <c r="F255" s="870" t="str">
        <f>'Giá Máy'!F8</f>
        <v>ca</v>
      </c>
      <c r="G255" s="725">
        <f>PTVT!G115</f>
        <v>8.8999999999999996E-2</v>
      </c>
      <c r="H255" s="484">
        <f>'Giá Máy'!O8</f>
        <v>276871</v>
      </c>
      <c r="I255" s="441">
        <f>'Tiên lượng'!X32</f>
        <v>1</v>
      </c>
      <c r="J255" s="484">
        <f t="shared" si="8"/>
        <v>24641.519</v>
      </c>
      <c r="K255" s="874"/>
      <c r="L255" s="874"/>
      <c r="M255" s="874"/>
      <c r="N255" s="874"/>
      <c r="O255" s="874"/>
      <c r="P255" s="874"/>
      <c r="Q255" s="874"/>
      <c r="R255" s="874"/>
      <c r="S255" s="874"/>
      <c r="T255" s="874"/>
      <c r="U255" s="874"/>
      <c r="V255" s="874"/>
      <c r="W255" s="874"/>
      <c r="X255" s="874"/>
      <c r="Y255" s="874"/>
      <c r="Z255" s="874"/>
      <c r="AA255" s="874"/>
    </row>
    <row r="256" spans="1:27" x14ac:dyDescent="0.25">
      <c r="A256" s="813"/>
      <c r="B256" s="870"/>
      <c r="C256" s="66" t="s">
        <v>306</v>
      </c>
      <c r="D256" s="774" t="s">
        <v>1341</v>
      </c>
      <c r="E256" s="649" t="str">
        <f>" - " &amp; 'Giá Máy'!E10</f>
        <v xml:space="preserve"> - Máy đầm dùi 1,5kW</v>
      </c>
      <c r="F256" s="870" t="str">
        <f>'Giá Máy'!F10</f>
        <v>ca</v>
      </c>
      <c r="G256" s="725">
        <f>PTVT!G116</f>
        <v>8.8999999999999996E-2</v>
      </c>
      <c r="H256" s="484">
        <f>'Giá Máy'!O10</f>
        <v>281279</v>
      </c>
      <c r="I256" s="441">
        <f>'Tiên lượng'!X32</f>
        <v>1</v>
      </c>
      <c r="J256" s="484">
        <f t="shared" si="8"/>
        <v>25033.830999999998</v>
      </c>
      <c r="K256" s="874"/>
      <c r="L256" s="874"/>
      <c r="M256" s="874"/>
      <c r="N256" s="874"/>
      <c r="O256" s="874"/>
      <c r="P256" s="874"/>
      <c r="Q256" s="874"/>
      <c r="R256" s="874"/>
      <c r="S256" s="874"/>
      <c r="T256" s="874"/>
      <c r="U256" s="874"/>
      <c r="V256" s="874"/>
      <c r="W256" s="874"/>
      <c r="X256" s="874"/>
      <c r="Y256" s="874"/>
      <c r="Z256" s="874"/>
      <c r="AA256" s="874"/>
    </row>
    <row r="257" spans="1:27" x14ac:dyDescent="0.25">
      <c r="A257" s="813"/>
      <c r="B257" s="870"/>
      <c r="C257" s="66" t="s">
        <v>306</v>
      </c>
      <c r="D257" s="774" t="s">
        <v>760</v>
      </c>
      <c r="E257" s="649" t="s">
        <v>830</v>
      </c>
      <c r="F257" s="870" t="s">
        <v>1086</v>
      </c>
      <c r="G257" s="725">
        <f>PTVT!G117</f>
        <v>2</v>
      </c>
      <c r="H257" s="484">
        <f>IF('Tiên lượng'!X32&lt;&gt;0,SUM(J254:J256)/100/'Tiên lượng'!X32,0)</f>
        <v>806.74419999999998</v>
      </c>
      <c r="I257" s="441">
        <f>'Tiên lượng'!X32</f>
        <v>1</v>
      </c>
      <c r="J257" s="484">
        <f t="shared" si="8"/>
        <v>1613.4884</v>
      </c>
      <c r="K257" s="874"/>
      <c r="L257" s="874"/>
      <c r="M257" s="874"/>
      <c r="N257" s="874"/>
      <c r="O257" s="874"/>
      <c r="P257" s="874"/>
      <c r="Q257" s="874"/>
      <c r="R257" s="874"/>
      <c r="S257" s="874"/>
      <c r="T257" s="874"/>
      <c r="U257" s="874"/>
      <c r="V257" s="874"/>
      <c r="W257" s="874"/>
      <c r="X257" s="874"/>
      <c r="Y257" s="874"/>
      <c r="Z257" s="874"/>
      <c r="AA257" s="874"/>
    </row>
    <row r="258" spans="1:27" x14ac:dyDescent="0.25">
      <c r="A258" s="813"/>
      <c r="B258" s="870"/>
      <c r="C258" s="66" t="s">
        <v>306</v>
      </c>
      <c r="D258" s="774" t="s">
        <v>306</v>
      </c>
      <c r="E258" s="649" t="s">
        <v>1211</v>
      </c>
      <c r="F258" s="870" t="s">
        <v>969</v>
      </c>
      <c r="G258" s="735"/>
      <c r="H258" s="484"/>
      <c r="I258" s="441"/>
      <c r="J258" s="484">
        <f>J243+J251+J253</f>
        <v>2018420.9326536451</v>
      </c>
      <c r="K258" s="874"/>
      <c r="L258" s="874"/>
      <c r="M258" s="874"/>
      <c r="N258" s="874"/>
      <c r="O258" s="874"/>
      <c r="P258" s="874"/>
      <c r="Q258" s="874"/>
      <c r="R258" s="874"/>
      <c r="S258" s="874"/>
      <c r="T258" s="874"/>
      <c r="U258" s="874"/>
      <c r="V258" s="874"/>
      <c r="W258" s="874"/>
      <c r="X258" s="874"/>
      <c r="Y258" s="874"/>
      <c r="Z258" s="874"/>
      <c r="AA258" s="874"/>
    </row>
    <row r="259" spans="1:27" x14ac:dyDescent="0.25">
      <c r="A259" s="813"/>
      <c r="B259" s="870"/>
      <c r="C259" s="66" t="s">
        <v>306</v>
      </c>
      <c r="D259" s="774" t="s">
        <v>306</v>
      </c>
      <c r="E259" s="649" t="s">
        <v>581</v>
      </c>
      <c r="F259" s="870" t="s">
        <v>892</v>
      </c>
      <c r="G259" s="694">
        <f>'Hệ số'!D5</f>
        <v>6.2E-2</v>
      </c>
      <c r="H259" s="484"/>
      <c r="I259" s="441"/>
      <c r="J259" s="484">
        <f>(J258)*G259</f>
        <v>125142.09782452599</v>
      </c>
      <c r="K259" s="874"/>
      <c r="L259" s="874"/>
      <c r="M259" s="874"/>
      <c r="N259" s="874"/>
      <c r="O259" s="874"/>
      <c r="P259" s="874"/>
      <c r="Q259" s="874"/>
      <c r="R259" s="874"/>
      <c r="S259" s="874"/>
      <c r="T259" s="874"/>
      <c r="U259" s="874"/>
      <c r="V259" s="874"/>
      <c r="W259" s="874"/>
      <c r="X259" s="874"/>
      <c r="Y259" s="874"/>
      <c r="Z259" s="874"/>
      <c r="AA259" s="874"/>
    </row>
    <row r="260" spans="1:27" x14ac:dyDescent="0.25">
      <c r="A260" s="813"/>
      <c r="B260" s="870"/>
      <c r="C260" s="66" t="s">
        <v>306</v>
      </c>
      <c r="D260" s="774" t="s">
        <v>306</v>
      </c>
      <c r="E260" s="649" t="s">
        <v>634</v>
      </c>
      <c r="F260" s="870" t="s">
        <v>997</v>
      </c>
      <c r="G260" s="694">
        <f>'Hệ số'!D11</f>
        <v>1.1000000000000001E-2</v>
      </c>
      <c r="H260" s="484"/>
      <c r="I260" s="441"/>
      <c r="J260" s="484">
        <f>(J258)*G260</f>
        <v>22202.630259190097</v>
      </c>
      <c r="K260" s="874"/>
      <c r="L260" s="874"/>
      <c r="M260" s="874"/>
      <c r="N260" s="874"/>
      <c r="O260" s="874"/>
      <c r="P260" s="874"/>
      <c r="Q260" s="874"/>
      <c r="R260" s="874"/>
      <c r="S260" s="874"/>
      <c r="T260" s="874"/>
      <c r="U260" s="874"/>
      <c r="V260" s="874"/>
      <c r="W260" s="874"/>
      <c r="X260" s="874"/>
      <c r="Y260" s="874"/>
      <c r="Z260" s="874"/>
      <c r="AA260" s="874"/>
    </row>
    <row r="261" spans="1:27" ht="30" x14ac:dyDescent="0.25">
      <c r="A261" s="813"/>
      <c r="B261" s="870"/>
      <c r="C261" s="66" t="s">
        <v>306</v>
      </c>
      <c r="D261" s="774" t="s">
        <v>306</v>
      </c>
      <c r="E261" s="649" t="s">
        <v>51</v>
      </c>
      <c r="F261" s="870" t="s">
        <v>172</v>
      </c>
      <c r="G261" s="319">
        <f>'Hệ số'!D8</f>
        <v>0.02</v>
      </c>
      <c r="H261" s="484"/>
      <c r="I261" s="441"/>
      <c r="J261" s="484">
        <f>(J258)*G261</f>
        <v>40368.418653072898</v>
      </c>
      <c r="K261" s="874"/>
      <c r="L261" s="874"/>
      <c r="M261" s="874"/>
      <c r="N261" s="874"/>
      <c r="O261" s="874"/>
      <c r="P261" s="874"/>
      <c r="Q261" s="874"/>
      <c r="R261" s="874"/>
      <c r="S261" s="874"/>
      <c r="T261" s="874"/>
      <c r="U261" s="874"/>
      <c r="V261" s="874"/>
      <c r="W261" s="874"/>
      <c r="X261" s="874"/>
      <c r="Y261" s="874"/>
      <c r="Z261" s="874"/>
      <c r="AA261" s="874"/>
    </row>
    <row r="262" spans="1:27" x14ac:dyDescent="0.25">
      <c r="A262" s="813"/>
      <c r="B262" s="870"/>
      <c r="C262" s="66" t="s">
        <v>306</v>
      </c>
      <c r="D262" s="774" t="s">
        <v>306</v>
      </c>
      <c r="E262" s="649" t="s">
        <v>4</v>
      </c>
      <c r="F262" s="870" t="s">
        <v>1074</v>
      </c>
      <c r="G262" s="735"/>
      <c r="H262" s="484"/>
      <c r="I262" s="441"/>
      <c r="J262" s="484">
        <f>J259+J260+J261</f>
        <v>187713.146736789</v>
      </c>
      <c r="K262" s="874"/>
      <c r="L262" s="874"/>
      <c r="M262" s="874"/>
      <c r="N262" s="874"/>
      <c r="O262" s="874"/>
      <c r="P262" s="874"/>
      <c r="Q262" s="874"/>
      <c r="R262" s="874"/>
      <c r="S262" s="874"/>
      <c r="T262" s="874"/>
      <c r="U262" s="874"/>
      <c r="V262" s="874"/>
      <c r="W262" s="874"/>
      <c r="X262" s="874"/>
      <c r="Y262" s="874"/>
      <c r="Z262" s="874"/>
      <c r="AA262" s="874"/>
    </row>
    <row r="263" spans="1:27" ht="30" x14ac:dyDescent="0.25">
      <c r="A263" s="813"/>
      <c r="B263" s="870"/>
      <c r="C263" s="66" t="s">
        <v>306</v>
      </c>
      <c r="D263" s="774" t="s">
        <v>306</v>
      </c>
      <c r="E263" s="649" t="s">
        <v>926</v>
      </c>
      <c r="F263" s="870" t="s">
        <v>877</v>
      </c>
      <c r="G263" s="319">
        <f>'Hệ số'!D15</f>
        <v>0.06</v>
      </c>
      <c r="H263" s="484"/>
      <c r="I263" s="441"/>
      <c r="J263" s="484">
        <f>(J258+J262)*G263</f>
        <v>132368.04476342603</v>
      </c>
      <c r="K263" s="874"/>
      <c r="L263" s="874"/>
      <c r="M263" s="874"/>
      <c r="N263" s="874"/>
      <c r="O263" s="874"/>
      <c r="P263" s="874"/>
      <c r="Q263" s="874"/>
      <c r="R263" s="874"/>
      <c r="S263" s="874"/>
      <c r="T263" s="874"/>
      <c r="U263" s="874"/>
      <c r="V263" s="874"/>
      <c r="W263" s="874"/>
      <c r="X263" s="874"/>
      <c r="Y263" s="874"/>
      <c r="Z263" s="874"/>
      <c r="AA263" s="874"/>
    </row>
    <row r="264" spans="1:27" x14ac:dyDescent="0.25">
      <c r="A264" s="813"/>
      <c r="B264" s="870"/>
      <c r="C264" s="66" t="s">
        <v>306</v>
      </c>
      <c r="D264" s="774" t="s">
        <v>306</v>
      </c>
      <c r="E264" s="421" t="s">
        <v>699</v>
      </c>
      <c r="F264" s="143" t="s">
        <v>516</v>
      </c>
      <c r="G264" s="735"/>
      <c r="H264" s="484"/>
      <c r="I264" s="441"/>
      <c r="J264" s="270">
        <f>J258+J262+J263</f>
        <v>2338502.1241538599</v>
      </c>
      <c r="K264" s="874"/>
      <c r="L264" s="874"/>
      <c r="M264" s="874"/>
      <c r="N264" s="874"/>
      <c r="O264" s="874"/>
      <c r="P264" s="874"/>
      <c r="Q264" s="874"/>
      <c r="R264" s="874"/>
      <c r="S264" s="874"/>
      <c r="T264" s="874"/>
      <c r="U264" s="874"/>
      <c r="V264" s="874"/>
      <c r="W264" s="874"/>
      <c r="X264" s="874"/>
      <c r="Y264" s="874"/>
      <c r="Z264" s="874"/>
      <c r="AA264" s="874"/>
    </row>
    <row r="265" spans="1:27" x14ac:dyDescent="0.25">
      <c r="A265" s="813"/>
      <c r="B265" s="870"/>
      <c r="C265" s="66" t="s">
        <v>306</v>
      </c>
      <c r="D265" s="774" t="s">
        <v>306</v>
      </c>
      <c r="E265" s="649" t="s">
        <v>1117</v>
      </c>
      <c r="F265" s="870" t="s">
        <v>447</v>
      </c>
      <c r="G265" s="319">
        <f>'Hệ số'!D17</f>
        <v>0.08</v>
      </c>
      <c r="H265" s="484"/>
      <c r="I265" s="441"/>
      <c r="J265" s="484">
        <f>(J264)*G265</f>
        <v>187080.16993230881</v>
      </c>
      <c r="K265" s="874"/>
      <c r="L265" s="874"/>
      <c r="M265" s="874"/>
      <c r="N265" s="874"/>
      <c r="O265" s="874"/>
      <c r="P265" s="874"/>
      <c r="Q265" s="874"/>
      <c r="R265" s="874"/>
      <c r="S265" s="874"/>
      <c r="T265" s="874"/>
      <c r="U265" s="874"/>
      <c r="V265" s="874"/>
      <c r="W265" s="874"/>
      <c r="X265" s="874"/>
      <c r="Y265" s="874"/>
      <c r="Z265" s="874"/>
      <c r="AA265" s="874"/>
    </row>
    <row r="266" spans="1:27" x14ac:dyDescent="0.25">
      <c r="A266" s="468"/>
      <c r="B266" s="534"/>
      <c r="C266" s="638" t="s">
        <v>306</v>
      </c>
      <c r="D266" s="420" t="s">
        <v>306</v>
      </c>
      <c r="E266" s="438" t="s">
        <v>1316</v>
      </c>
      <c r="F266" s="698" t="s">
        <v>927</v>
      </c>
      <c r="G266" s="750"/>
      <c r="H266" s="128"/>
      <c r="I266" s="462"/>
      <c r="J266" s="880">
        <f>J264+J265</f>
        <v>2525582.2940861685</v>
      </c>
      <c r="K266" s="874"/>
      <c r="L266" s="874"/>
      <c r="M266" s="874"/>
      <c r="N266" s="874"/>
      <c r="O266" s="874"/>
      <c r="P266" s="874"/>
      <c r="Q266" s="874"/>
      <c r="R266" s="874"/>
      <c r="S266" s="874"/>
      <c r="T266" s="874"/>
      <c r="U266" s="874"/>
      <c r="V266" s="874"/>
      <c r="W266" s="874"/>
      <c r="X266" s="874"/>
      <c r="Y266" s="874"/>
      <c r="Z266" s="874"/>
      <c r="AA266" s="874"/>
    </row>
    <row r="267" spans="1:27" ht="30" x14ac:dyDescent="0.25">
      <c r="A267" s="895"/>
      <c r="B267" s="58">
        <v>17</v>
      </c>
      <c r="C267" s="137" t="str">
        <f>'Tiên lượng'!C35</f>
        <v>AL.22111</v>
      </c>
      <c r="D267" s="137" t="str">
        <f>'Tiên lượng'!C35</f>
        <v>AL.22111</v>
      </c>
      <c r="E267" s="693" t="str">
        <f>'Tiên lượng'!D35</f>
        <v>Cắt khe co, dãn mặt đường BTXM ( 5m cắt 1 mạch)</v>
      </c>
      <c r="F267" s="58" t="str">
        <f>'Tiên lượng'!E35</f>
        <v>10m</v>
      </c>
      <c r="G267" s="254"/>
      <c r="H267" s="194"/>
      <c r="I267" s="527"/>
      <c r="J267" s="194"/>
      <c r="K267" s="874"/>
      <c r="L267" s="874"/>
      <c r="M267" s="874"/>
      <c r="N267" s="874"/>
      <c r="O267" s="874"/>
      <c r="P267" s="874"/>
      <c r="Q267" s="874"/>
      <c r="R267" s="874"/>
      <c r="S267" s="874"/>
      <c r="T267" s="874"/>
      <c r="U267" s="874"/>
      <c r="V267" s="874"/>
      <c r="W267" s="874"/>
      <c r="X267" s="874"/>
      <c r="Y267" s="874"/>
      <c r="Z267" s="874"/>
      <c r="AA267" s="874"/>
    </row>
    <row r="268" spans="1:27" x14ac:dyDescent="0.25">
      <c r="A268" s="129"/>
      <c r="B268" s="198"/>
      <c r="C268" s="810" t="s">
        <v>306</v>
      </c>
      <c r="D268" s="810" t="s">
        <v>306</v>
      </c>
      <c r="E268" s="473" t="s">
        <v>1372</v>
      </c>
      <c r="F268" s="198" t="s">
        <v>479</v>
      </c>
      <c r="G268" s="32"/>
      <c r="H268" s="333"/>
      <c r="I268" s="671"/>
      <c r="J268" s="333">
        <f>SUM(J269:J270)</f>
        <v>7185</v>
      </c>
      <c r="K268" s="874"/>
      <c r="L268" s="874"/>
      <c r="M268" s="874"/>
      <c r="N268" s="874"/>
      <c r="O268" s="874"/>
      <c r="P268" s="874"/>
      <c r="Q268" s="874"/>
      <c r="R268" s="874"/>
      <c r="S268" s="874"/>
      <c r="T268" s="874"/>
      <c r="U268" s="874"/>
      <c r="V268" s="874"/>
      <c r="W268" s="874"/>
      <c r="X268" s="874"/>
      <c r="Y268" s="874"/>
      <c r="Z268" s="874"/>
      <c r="AA268" s="874"/>
    </row>
    <row r="269" spans="1:27" x14ac:dyDescent="0.25">
      <c r="A269" s="813"/>
      <c r="B269" s="870"/>
      <c r="C269" s="66" t="s">
        <v>306</v>
      </c>
      <c r="D269" s="774" t="s">
        <v>496</v>
      </c>
      <c r="E269" s="649" t="str">
        <f>" - " &amp; 'Giá VL'!E13</f>
        <v xml:space="preserve"> - Lưỡi cắt D350mm</v>
      </c>
      <c r="F269" s="870" t="str">
        <f>'Giá VL'!F13</f>
        <v>cái</v>
      </c>
      <c r="G269" s="725">
        <f>PTVT!G120</f>
        <v>0.13200000000000001</v>
      </c>
      <c r="H269" s="484">
        <f>'Giá VL'!V13</f>
        <v>45000</v>
      </c>
      <c r="I269" s="441">
        <f>'Tiên lượng'!V35</f>
        <v>1</v>
      </c>
      <c r="J269" s="484">
        <f t="shared" ref="J269:J270" si="9">PRODUCT(G269,H269,I269)</f>
        <v>5940</v>
      </c>
      <c r="K269" s="874"/>
      <c r="L269" s="874"/>
      <c r="M269" s="874"/>
      <c r="N269" s="874"/>
      <c r="O269" s="874"/>
      <c r="P269" s="874"/>
      <c r="Q269" s="874"/>
      <c r="R269" s="874"/>
      <c r="S269" s="874"/>
      <c r="T269" s="874"/>
      <c r="U269" s="874"/>
      <c r="V269" s="874"/>
      <c r="W269" s="874"/>
      <c r="X269" s="874"/>
      <c r="Y269" s="874"/>
      <c r="Z269" s="874"/>
      <c r="AA269" s="874"/>
    </row>
    <row r="270" spans="1:27" x14ac:dyDescent="0.25">
      <c r="A270" s="813"/>
      <c r="B270" s="870"/>
      <c r="C270" s="66" t="s">
        <v>306</v>
      </c>
      <c r="D270" s="774" t="s">
        <v>444</v>
      </c>
      <c r="E270" s="649" t="str">
        <f>" - " &amp; 'Giá VL'!E16</f>
        <v xml:space="preserve"> - Nước</v>
      </c>
      <c r="F270" s="870" t="str">
        <f>'Giá VL'!F16</f>
        <v>m3</v>
      </c>
      <c r="G270" s="725">
        <f>PTVT!G121</f>
        <v>8.3000000000000004E-2</v>
      </c>
      <c r="H270" s="484">
        <f>'Giá VL'!V16</f>
        <v>15000</v>
      </c>
      <c r="I270" s="441">
        <f>'Tiên lượng'!V35</f>
        <v>1</v>
      </c>
      <c r="J270" s="484">
        <f t="shared" si="9"/>
        <v>1245</v>
      </c>
      <c r="K270" s="874"/>
      <c r="L270" s="874"/>
      <c r="M270" s="874"/>
      <c r="N270" s="874"/>
      <c r="O270" s="874"/>
      <c r="P270" s="874"/>
      <c r="Q270" s="874"/>
      <c r="R270" s="874"/>
      <c r="S270" s="874"/>
      <c r="T270" s="874"/>
      <c r="U270" s="874"/>
      <c r="V270" s="874"/>
      <c r="W270" s="874"/>
      <c r="X270" s="874"/>
      <c r="Y270" s="874"/>
      <c r="Z270" s="874"/>
      <c r="AA270" s="874"/>
    </row>
    <row r="271" spans="1:27" x14ac:dyDescent="0.25">
      <c r="A271" s="129"/>
      <c r="B271" s="198"/>
      <c r="C271" s="810" t="s">
        <v>306</v>
      </c>
      <c r="D271" s="810" t="s">
        <v>306</v>
      </c>
      <c r="E271" s="473" t="s">
        <v>890</v>
      </c>
      <c r="F271" s="198" t="s">
        <v>125</v>
      </c>
      <c r="G271" s="32"/>
      <c r="H271" s="333"/>
      <c r="I271" s="671"/>
      <c r="J271" s="333">
        <f>SUM(J272:J272)</f>
        <v>148500</v>
      </c>
      <c r="K271" s="874"/>
      <c r="L271" s="874"/>
      <c r="M271" s="874"/>
      <c r="N271" s="874"/>
      <c r="O271" s="874"/>
      <c r="P271" s="874"/>
      <c r="Q271" s="874"/>
      <c r="R271" s="874"/>
      <c r="S271" s="874"/>
      <c r="T271" s="874"/>
      <c r="U271" s="874"/>
      <c r="V271" s="874"/>
      <c r="W271" s="874"/>
      <c r="X271" s="874"/>
      <c r="Y271" s="874"/>
      <c r="Z271" s="874"/>
      <c r="AA271" s="874"/>
    </row>
    <row r="272" spans="1:27" x14ac:dyDescent="0.25">
      <c r="A272" s="813"/>
      <c r="B272" s="870"/>
      <c r="C272" s="66" t="s">
        <v>306</v>
      </c>
      <c r="D272" s="774" t="s">
        <v>1055</v>
      </c>
      <c r="E272" s="649" t="str">
        <f>" - " &amp; 'Giá NC'!E7</f>
        <v xml:space="preserve"> - Nhân công bậc 3,5/7 - Nhóm 2</v>
      </c>
      <c r="F272" s="870" t="str">
        <f>'Giá NC'!F7</f>
        <v>công</v>
      </c>
      <c r="G272" s="725">
        <f>PTVT!G123</f>
        <v>0.55000000000000004</v>
      </c>
      <c r="H272" s="484">
        <f>'Giá NC'!K7</f>
        <v>270000</v>
      </c>
      <c r="I272" s="441">
        <f>'Tiên lượng'!W35</f>
        <v>1</v>
      </c>
      <c r="J272" s="484">
        <f>PRODUCT(G272,H272,I272)</f>
        <v>148500</v>
      </c>
      <c r="K272" s="874"/>
      <c r="L272" s="874"/>
      <c r="M272" s="874"/>
      <c r="N272" s="874"/>
      <c r="O272" s="874"/>
      <c r="P272" s="874"/>
      <c r="Q272" s="874"/>
      <c r="R272" s="874"/>
      <c r="S272" s="874"/>
      <c r="T272" s="874"/>
      <c r="U272" s="874"/>
      <c r="V272" s="874"/>
      <c r="W272" s="874"/>
      <c r="X272" s="874"/>
      <c r="Y272" s="874"/>
      <c r="Z272" s="874"/>
      <c r="AA272" s="874"/>
    </row>
    <row r="273" spans="1:27" x14ac:dyDescent="0.25">
      <c r="A273" s="129"/>
      <c r="B273" s="198"/>
      <c r="C273" s="810" t="s">
        <v>306</v>
      </c>
      <c r="D273" s="810" t="s">
        <v>306</v>
      </c>
      <c r="E273" s="473" t="s">
        <v>556</v>
      </c>
      <c r="F273" s="198" t="s">
        <v>539</v>
      </c>
      <c r="G273" s="32"/>
      <c r="H273" s="333"/>
      <c r="I273" s="671"/>
      <c r="J273" s="333">
        <f>SUM(J274:J274)</f>
        <v>69677.740000000005</v>
      </c>
      <c r="K273" s="874"/>
      <c r="L273" s="874"/>
      <c r="M273" s="874"/>
      <c r="N273" s="874"/>
      <c r="O273" s="874"/>
      <c r="P273" s="874"/>
      <c r="Q273" s="874"/>
      <c r="R273" s="874"/>
      <c r="S273" s="874"/>
      <c r="T273" s="874"/>
      <c r="U273" s="874"/>
      <c r="V273" s="874"/>
      <c r="W273" s="874"/>
      <c r="X273" s="874"/>
      <c r="Y273" s="874"/>
      <c r="Z273" s="874"/>
      <c r="AA273" s="874"/>
    </row>
    <row r="274" spans="1:27" x14ac:dyDescent="0.25">
      <c r="A274" s="813"/>
      <c r="B274" s="870"/>
      <c r="C274" s="66" t="s">
        <v>306</v>
      </c>
      <c r="D274" s="774" t="s">
        <v>369</v>
      </c>
      <c r="E274" s="649" t="str">
        <f>" - " &amp; 'Giá Máy'!E7</f>
        <v xml:space="preserve"> - Máy cắt bê tông 7,5kW</v>
      </c>
      <c r="F274" s="870" t="str">
        <f>'Giá Máy'!F7</f>
        <v>ca</v>
      </c>
      <c r="G274" s="725">
        <f>PTVT!G125</f>
        <v>0.22</v>
      </c>
      <c r="H274" s="484">
        <f>'Giá Máy'!O7</f>
        <v>316717</v>
      </c>
      <c r="I274" s="441">
        <f>'Tiên lượng'!X35</f>
        <v>1</v>
      </c>
      <c r="J274" s="484">
        <f>PRODUCT(G274,H274,I274)</f>
        <v>69677.740000000005</v>
      </c>
      <c r="K274" s="874"/>
      <c r="L274" s="874"/>
      <c r="M274" s="874"/>
      <c r="N274" s="874"/>
      <c r="O274" s="874"/>
      <c r="P274" s="874"/>
      <c r="Q274" s="874"/>
      <c r="R274" s="874"/>
      <c r="S274" s="874"/>
      <c r="T274" s="874"/>
      <c r="U274" s="874"/>
      <c r="V274" s="874"/>
      <c r="W274" s="874"/>
      <c r="X274" s="874"/>
      <c r="Y274" s="874"/>
      <c r="Z274" s="874"/>
      <c r="AA274" s="874"/>
    </row>
    <row r="275" spans="1:27" x14ac:dyDescent="0.25">
      <c r="A275" s="813"/>
      <c r="B275" s="870"/>
      <c r="C275" s="66" t="s">
        <v>306</v>
      </c>
      <c r="D275" s="774" t="s">
        <v>306</v>
      </c>
      <c r="E275" s="649" t="s">
        <v>1211</v>
      </c>
      <c r="F275" s="870" t="s">
        <v>969</v>
      </c>
      <c r="G275" s="735"/>
      <c r="H275" s="484"/>
      <c r="I275" s="441"/>
      <c r="J275" s="484">
        <f>J268+J271+J273</f>
        <v>225362.74</v>
      </c>
      <c r="K275" s="874"/>
      <c r="L275" s="874"/>
      <c r="M275" s="874"/>
      <c r="N275" s="874"/>
      <c r="O275" s="874"/>
      <c r="P275" s="874"/>
      <c r="Q275" s="874"/>
      <c r="R275" s="874"/>
      <c r="S275" s="874"/>
      <c r="T275" s="874"/>
      <c r="U275" s="874"/>
      <c r="V275" s="874"/>
      <c r="W275" s="874"/>
      <c r="X275" s="874"/>
      <c r="Y275" s="874"/>
      <c r="Z275" s="874"/>
      <c r="AA275" s="874"/>
    </row>
    <row r="276" spans="1:27" x14ac:dyDescent="0.25">
      <c r="A276" s="813"/>
      <c r="B276" s="870"/>
      <c r="C276" s="66" t="s">
        <v>306</v>
      </c>
      <c r="D276" s="774" t="s">
        <v>306</v>
      </c>
      <c r="E276" s="649" t="s">
        <v>581</v>
      </c>
      <c r="F276" s="870" t="s">
        <v>892</v>
      </c>
      <c r="G276" s="694">
        <f>'Hệ số'!D5</f>
        <v>6.2E-2</v>
      </c>
      <c r="H276" s="484"/>
      <c r="I276" s="441"/>
      <c r="J276" s="484">
        <f>(J275)*G276</f>
        <v>13972.489879999999</v>
      </c>
      <c r="K276" s="874"/>
      <c r="L276" s="874"/>
      <c r="M276" s="874"/>
      <c r="N276" s="874"/>
      <c r="O276" s="874"/>
      <c r="P276" s="874"/>
      <c r="Q276" s="874"/>
      <c r="R276" s="874"/>
      <c r="S276" s="874"/>
      <c r="T276" s="874"/>
      <c r="U276" s="874"/>
      <c r="V276" s="874"/>
      <c r="W276" s="874"/>
      <c r="X276" s="874"/>
      <c r="Y276" s="874"/>
      <c r="Z276" s="874"/>
      <c r="AA276" s="874"/>
    </row>
    <row r="277" spans="1:27" x14ac:dyDescent="0.25">
      <c r="A277" s="813"/>
      <c r="B277" s="870"/>
      <c r="C277" s="66" t="s">
        <v>306</v>
      </c>
      <c r="D277" s="774" t="s">
        <v>306</v>
      </c>
      <c r="E277" s="649" t="s">
        <v>634</v>
      </c>
      <c r="F277" s="870" t="s">
        <v>997</v>
      </c>
      <c r="G277" s="694">
        <f>'Hệ số'!D11</f>
        <v>1.1000000000000001E-2</v>
      </c>
      <c r="H277" s="484"/>
      <c r="I277" s="441"/>
      <c r="J277" s="484">
        <f>(J275)*G277</f>
        <v>2478.9901400000003</v>
      </c>
      <c r="K277" s="874"/>
      <c r="L277" s="874"/>
      <c r="M277" s="874"/>
      <c r="N277" s="874"/>
      <c r="O277" s="874"/>
      <c r="P277" s="874"/>
      <c r="Q277" s="874"/>
      <c r="R277" s="874"/>
      <c r="S277" s="874"/>
      <c r="T277" s="874"/>
      <c r="U277" s="874"/>
      <c r="V277" s="874"/>
      <c r="W277" s="874"/>
      <c r="X277" s="874"/>
      <c r="Y277" s="874"/>
      <c r="Z277" s="874"/>
      <c r="AA277" s="874"/>
    </row>
    <row r="278" spans="1:27" ht="30" x14ac:dyDescent="0.25">
      <c r="A278" s="813"/>
      <c r="B278" s="870"/>
      <c r="C278" s="66" t="s">
        <v>306</v>
      </c>
      <c r="D278" s="774" t="s">
        <v>306</v>
      </c>
      <c r="E278" s="649" t="s">
        <v>51</v>
      </c>
      <c r="F278" s="870" t="s">
        <v>172</v>
      </c>
      <c r="G278" s="319">
        <f>'Hệ số'!D8</f>
        <v>0.02</v>
      </c>
      <c r="H278" s="484"/>
      <c r="I278" s="441"/>
      <c r="J278" s="484">
        <f>(J275)*G278</f>
        <v>4507.2547999999997</v>
      </c>
      <c r="K278" s="874"/>
      <c r="L278" s="874"/>
      <c r="M278" s="874"/>
      <c r="N278" s="874"/>
      <c r="O278" s="874"/>
      <c r="P278" s="874"/>
      <c r="Q278" s="874"/>
      <c r="R278" s="874"/>
      <c r="S278" s="874"/>
      <c r="T278" s="874"/>
      <c r="U278" s="874"/>
      <c r="V278" s="874"/>
      <c r="W278" s="874"/>
      <c r="X278" s="874"/>
      <c r="Y278" s="874"/>
      <c r="Z278" s="874"/>
      <c r="AA278" s="874"/>
    </row>
    <row r="279" spans="1:27" x14ac:dyDescent="0.25">
      <c r="A279" s="813"/>
      <c r="B279" s="870"/>
      <c r="C279" s="66" t="s">
        <v>306</v>
      </c>
      <c r="D279" s="774" t="s">
        <v>306</v>
      </c>
      <c r="E279" s="649" t="s">
        <v>4</v>
      </c>
      <c r="F279" s="870" t="s">
        <v>1074</v>
      </c>
      <c r="G279" s="735"/>
      <c r="H279" s="484"/>
      <c r="I279" s="441"/>
      <c r="J279" s="484">
        <f>J276+J277+J278</f>
        <v>20958.734819999998</v>
      </c>
      <c r="K279" s="874"/>
      <c r="L279" s="874"/>
      <c r="M279" s="874"/>
      <c r="N279" s="874"/>
      <c r="O279" s="874"/>
      <c r="P279" s="874"/>
      <c r="Q279" s="874"/>
      <c r="R279" s="874"/>
      <c r="S279" s="874"/>
      <c r="T279" s="874"/>
      <c r="U279" s="874"/>
      <c r="V279" s="874"/>
      <c r="W279" s="874"/>
      <c r="X279" s="874"/>
      <c r="Y279" s="874"/>
      <c r="Z279" s="874"/>
      <c r="AA279" s="874"/>
    </row>
    <row r="280" spans="1:27" ht="30" x14ac:dyDescent="0.25">
      <c r="A280" s="813"/>
      <c r="B280" s="870"/>
      <c r="C280" s="66" t="s">
        <v>306</v>
      </c>
      <c r="D280" s="774" t="s">
        <v>306</v>
      </c>
      <c r="E280" s="649" t="s">
        <v>926</v>
      </c>
      <c r="F280" s="870" t="s">
        <v>877</v>
      </c>
      <c r="G280" s="319">
        <f>'Hệ số'!D15</f>
        <v>0.06</v>
      </c>
      <c r="H280" s="484"/>
      <c r="I280" s="441"/>
      <c r="J280" s="484">
        <f>(J275+J279)*G280</f>
        <v>14779.2884892</v>
      </c>
      <c r="K280" s="874"/>
      <c r="L280" s="874"/>
      <c r="M280" s="874"/>
      <c r="N280" s="874"/>
      <c r="O280" s="874"/>
      <c r="P280" s="874"/>
      <c r="Q280" s="874"/>
      <c r="R280" s="874"/>
      <c r="S280" s="874"/>
      <c r="T280" s="874"/>
      <c r="U280" s="874"/>
      <c r="V280" s="874"/>
      <c r="W280" s="874"/>
      <c r="X280" s="874"/>
      <c r="Y280" s="874"/>
      <c r="Z280" s="874"/>
      <c r="AA280" s="874"/>
    </row>
    <row r="281" spans="1:27" x14ac:dyDescent="0.25">
      <c r="A281" s="813"/>
      <c r="B281" s="870"/>
      <c r="C281" s="66" t="s">
        <v>306</v>
      </c>
      <c r="D281" s="774" t="s">
        <v>306</v>
      </c>
      <c r="E281" s="421" t="s">
        <v>699</v>
      </c>
      <c r="F281" s="143" t="s">
        <v>516</v>
      </c>
      <c r="G281" s="735"/>
      <c r="H281" s="484"/>
      <c r="I281" s="441"/>
      <c r="J281" s="270">
        <f>J275+J279+J280</f>
        <v>261100.7633092</v>
      </c>
      <c r="K281" s="874"/>
      <c r="L281" s="874"/>
      <c r="M281" s="874"/>
      <c r="N281" s="874"/>
      <c r="O281" s="874"/>
      <c r="P281" s="874"/>
      <c r="Q281" s="874"/>
      <c r="R281" s="874"/>
      <c r="S281" s="874"/>
      <c r="T281" s="874"/>
      <c r="U281" s="874"/>
      <c r="V281" s="874"/>
      <c r="W281" s="874"/>
      <c r="X281" s="874"/>
      <c r="Y281" s="874"/>
      <c r="Z281" s="874"/>
      <c r="AA281" s="874"/>
    </row>
    <row r="282" spans="1:27" x14ac:dyDescent="0.25">
      <c r="A282" s="813"/>
      <c r="B282" s="870"/>
      <c r="C282" s="66" t="s">
        <v>306</v>
      </c>
      <c r="D282" s="774" t="s">
        <v>306</v>
      </c>
      <c r="E282" s="649" t="s">
        <v>1117</v>
      </c>
      <c r="F282" s="870" t="s">
        <v>447</v>
      </c>
      <c r="G282" s="319">
        <f>'Hệ số'!D17</f>
        <v>0.08</v>
      </c>
      <c r="H282" s="484"/>
      <c r="I282" s="441"/>
      <c r="J282" s="484">
        <f>(J281)*G282</f>
        <v>20888.061064736001</v>
      </c>
      <c r="K282" s="874"/>
      <c r="L282" s="874"/>
      <c r="M282" s="874"/>
      <c r="N282" s="874"/>
      <c r="O282" s="874"/>
      <c r="P282" s="874"/>
      <c r="Q282" s="874"/>
      <c r="R282" s="874"/>
      <c r="S282" s="874"/>
      <c r="T282" s="874"/>
      <c r="U282" s="874"/>
      <c r="V282" s="874"/>
      <c r="W282" s="874"/>
      <c r="X282" s="874"/>
      <c r="Y282" s="874"/>
      <c r="Z282" s="874"/>
      <c r="AA282" s="874"/>
    </row>
    <row r="283" spans="1:27" x14ac:dyDescent="0.25">
      <c r="A283" s="468"/>
      <c r="B283" s="534"/>
      <c r="C283" s="638" t="s">
        <v>306</v>
      </c>
      <c r="D283" s="420" t="s">
        <v>306</v>
      </c>
      <c r="E283" s="438" t="s">
        <v>1316</v>
      </c>
      <c r="F283" s="698" t="s">
        <v>927</v>
      </c>
      <c r="G283" s="750"/>
      <c r="H283" s="128"/>
      <c r="I283" s="462"/>
      <c r="J283" s="880">
        <f>J281+J282</f>
        <v>281988.82437393599</v>
      </c>
      <c r="K283" s="874"/>
      <c r="L283" s="874"/>
      <c r="M283" s="874"/>
      <c r="N283" s="874"/>
      <c r="O283" s="874"/>
      <c r="P283" s="874"/>
      <c r="Q283" s="874"/>
      <c r="R283" s="874"/>
      <c r="S283" s="874"/>
      <c r="T283" s="874"/>
      <c r="U283" s="874"/>
      <c r="V283" s="874"/>
      <c r="W283" s="874"/>
      <c r="X283" s="874"/>
      <c r="Y283" s="874"/>
      <c r="Z283" s="874"/>
      <c r="AA283" s="874"/>
    </row>
    <row r="284" spans="1:27" x14ac:dyDescent="0.25">
      <c r="A284" s="895"/>
      <c r="B284" s="58">
        <v>18</v>
      </c>
      <c r="C284" s="137" t="str">
        <f>'Tiên lượng'!C37</f>
        <v>TT</v>
      </c>
      <c r="D284" s="137" t="str">
        <f>'Tiên lượng'!C37</f>
        <v>TT</v>
      </c>
      <c r="E284" s="693" t="str">
        <f>'Tiên lượng'!D37</f>
        <v>Công tác đánh bóng mặt đường bằng máy</v>
      </c>
      <c r="F284" s="58" t="str">
        <f>'Tiên lượng'!E37</f>
        <v>m2</v>
      </c>
      <c r="G284" s="254"/>
      <c r="H284" s="194"/>
      <c r="I284" s="527"/>
      <c r="J284" s="194"/>
      <c r="K284" s="874"/>
      <c r="L284" s="874"/>
      <c r="M284" s="874"/>
      <c r="N284" s="874"/>
      <c r="O284" s="874"/>
      <c r="P284" s="874"/>
      <c r="Q284" s="874"/>
      <c r="R284" s="874"/>
      <c r="S284" s="874"/>
      <c r="T284" s="874"/>
      <c r="U284" s="874"/>
      <c r="V284" s="874"/>
      <c r="W284" s="874"/>
      <c r="X284" s="874"/>
      <c r="Y284" s="874"/>
      <c r="Z284" s="874"/>
      <c r="AA284" s="874"/>
    </row>
    <row r="285" spans="1:27" x14ac:dyDescent="0.25">
      <c r="A285" s="129"/>
      <c r="B285" s="198"/>
      <c r="C285" s="810" t="s">
        <v>306</v>
      </c>
      <c r="D285" s="810" t="s">
        <v>306</v>
      </c>
      <c r="E285" s="473" t="s">
        <v>1372</v>
      </c>
      <c r="F285" s="198" t="s">
        <v>479</v>
      </c>
      <c r="G285" s="32"/>
      <c r="H285" s="333"/>
      <c r="I285" s="671"/>
      <c r="J285" s="333">
        <f>SUM(J286:J286)</f>
        <v>5000</v>
      </c>
      <c r="K285" s="874"/>
      <c r="L285" s="874"/>
      <c r="M285" s="874"/>
      <c r="N285" s="874"/>
      <c r="O285" s="874"/>
      <c r="P285" s="874"/>
      <c r="Q285" s="874"/>
      <c r="R285" s="874"/>
      <c r="S285" s="874"/>
      <c r="T285" s="874"/>
      <c r="U285" s="874"/>
      <c r="V285" s="874"/>
      <c r="W285" s="874"/>
      <c r="X285" s="874"/>
      <c r="Y285" s="874"/>
      <c r="Z285" s="874"/>
      <c r="AA285" s="874"/>
    </row>
    <row r="286" spans="1:27" x14ac:dyDescent="0.25">
      <c r="A286" s="813"/>
      <c r="B286" s="870"/>
      <c r="C286" s="66" t="s">
        <v>306</v>
      </c>
      <c r="D286" s="774" t="s">
        <v>306</v>
      </c>
      <c r="E286" s="649" t="s">
        <v>854</v>
      </c>
      <c r="F286" s="870" t="s">
        <v>1258</v>
      </c>
      <c r="G286" s="725">
        <f>PTVT!G128</f>
        <v>1</v>
      </c>
      <c r="H286" s="484">
        <f>'Tiên lượng'!N37</f>
        <v>5000</v>
      </c>
      <c r="I286" s="441"/>
      <c r="J286" s="484">
        <f>PRODUCT(G286,H286,I286)</f>
        <v>5000</v>
      </c>
      <c r="K286" s="874"/>
      <c r="L286" s="874"/>
      <c r="M286" s="874"/>
      <c r="N286" s="874"/>
      <c r="O286" s="874"/>
      <c r="P286" s="874"/>
      <c r="Q286" s="874"/>
      <c r="R286" s="874"/>
      <c r="S286" s="874"/>
      <c r="T286" s="874"/>
      <c r="U286" s="874"/>
      <c r="V286" s="874"/>
      <c r="W286" s="874"/>
      <c r="X286" s="874"/>
      <c r="Y286" s="874"/>
      <c r="Z286" s="874"/>
      <c r="AA286" s="874"/>
    </row>
    <row r="287" spans="1:27" x14ac:dyDescent="0.25">
      <c r="A287" s="129"/>
      <c r="B287" s="198"/>
      <c r="C287" s="810" t="s">
        <v>306</v>
      </c>
      <c r="D287" s="810" t="s">
        <v>306</v>
      </c>
      <c r="E287" s="473" t="s">
        <v>740</v>
      </c>
      <c r="F287" s="198" t="s">
        <v>836</v>
      </c>
      <c r="G287" s="32"/>
      <c r="H287" s="333"/>
      <c r="I287" s="671"/>
      <c r="J287" s="333">
        <v>0</v>
      </c>
      <c r="K287" s="874"/>
      <c r="L287" s="874"/>
      <c r="M287" s="874"/>
      <c r="N287" s="874"/>
      <c r="O287" s="874"/>
      <c r="P287" s="874"/>
      <c r="Q287" s="874"/>
      <c r="R287" s="874"/>
      <c r="S287" s="874"/>
      <c r="T287" s="874"/>
      <c r="U287" s="874"/>
      <c r="V287" s="874"/>
      <c r="W287" s="874"/>
      <c r="X287" s="874"/>
      <c r="Y287" s="874"/>
      <c r="Z287" s="874"/>
      <c r="AA287" s="874"/>
    </row>
    <row r="288" spans="1:27" x14ac:dyDescent="0.25">
      <c r="A288" s="129"/>
      <c r="B288" s="198"/>
      <c r="C288" s="810" t="s">
        <v>306</v>
      </c>
      <c r="D288" s="810" t="s">
        <v>306</v>
      </c>
      <c r="E288" s="473" t="s">
        <v>890</v>
      </c>
      <c r="F288" s="198" t="s">
        <v>125</v>
      </c>
      <c r="G288" s="32"/>
      <c r="H288" s="333"/>
      <c r="I288" s="671"/>
      <c r="J288" s="333">
        <f>SUM(J289:J289)</f>
        <v>12000</v>
      </c>
      <c r="K288" s="874"/>
      <c r="L288" s="874"/>
      <c r="M288" s="874"/>
      <c r="N288" s="874"/>
      <c r="O288" s="874"/>
      <c r="P288" s="874"/>
      <c r="Q288" s="874"/>
      <c r="R288" s="874"/>
      <c r="S288" s="874"/>
      <c r="T288" s="874"/>
      <c r="U288" s="874"/>
      <c r="V288" s="874"/>
      <c r="W288" s="874"/>
      <c r="X288" s="874"/>
      <c r="Y288" s="874"/>
      <c r="Z288" s="874"/>
      <c r="AA288" s="874"/>
    </row>
    <row r="289" spans="1:27" x14ac:dyDescent="0.25">
      <c r="A289" s="813"/>
      <c r="B289" s="870"/>
      <c r="C289" s="66" t="s">
        <v>306</v>
      </c>
      <c r="D289" s="774" t="s">
        <v>306</v>
      </c>
      <c r="E289" s="649" t="s">
        <v>663</v>
      </c>
      <c r="F289" s="870" t="s">
        <v>239</v>
      </c>
      <c r="G289" s="725">
        <f>PTVT!G67</f>
        <v>1</v>
      </c>
      <c r="H289" s="484">
        <f>'Tiên lượng'!P37</f>
        <v>12000</v>
      </c>
      <c r="I289" s="441"/>
      <c r="J289" s="484">
        <f>PRODUCT(G289,H289,I289)</f>
        <v>12000</v>
      </c>
      <c r="K289" s="874"/>
      <c r="L289" s="874"/>
      <c r="M289" s="874"/>
      <c r="N289" s="874"/>
      <c r="O289" s="874"/>
      <c r="P289" s="874"/>
      <c r="Q289" s="874"/>
      <c r="R289" s="874"/>
      <c r="S289" s="874"/>
      <c r="T289" s="874"/>
      <c r="U289" s="874"/>
      <c r="V289" s="874"/>
      <c r="W289" s="874"/>
      <c r="X289" s="874"/>
      <c r="Y289" s="874"/>
      <c r="Z289" s="874"/>
      <c r="AA289" s="874"/>
    </row>
    <row r="290" spans="1:27" x14ac:dyDescent="0.25">
      <c r="A290" s="129"/>
      <c r="B290" s="198"/>
      <c r="C290" s="810" t="s">
        <v>306</v>
      </c>
      <c r="D290" s="810" t="s">
        <v>306</v>
      </c>
      <c r="E290" s="473" t="s">
        <v>556</v>
      </c>
      <c r="F290" s="198" t="s">
        <v>539</v>
      </c>
      <c r="G290" s="32"/>
      <c r="H290" s="333"/>
      <c r="I290" s="671"/>
      <c r="J290" s="333">
        <v>0</v>
      </c>
      <c r="K290" s="874"/>
      <c r="L290" s="874"/>
      <c r="M290" s="874"/>
      <c r="N290" s="874"/>
      <c r="O290" s="874"/>
      <c r="P290" s="874"/>
      <c r="Q290" s="874"/>
      <c r="R290" s="874"/>
      <c r="S290" s="874"/>
      <c r="T290" s="874"/>
      <c r="U290" s="874"/>
      <c r="V290" s="874"/>
      <c r="W290" s="874"/>
      <c r="X290" s="874"/>
      <c r="Y290" s="874"/>
      <c r="Z290" s="874"/>
      <c r="AA290" s="874"/>
    </row>
    <row r="291" spans="1:27" x14ac:dyDescent="0.25">
      <c r="A291" s="813"/>
      <c r="B291" s="870"/>
      <c r="C291" s="66" t="s">
        <v>306</v>
      </c>
      <c r="D291" s="774" t="s">
        <v>306</v>
      </c>
      <c r="E291" s="649" t="s">
        <v>1211</v>
      </c>
      <c r="F291" s="870" t="s">
        <v>969</v>
      </c>
      <c r="G291" s="735"/>
      <c r="H291" s="484"/>
      <c r="I291" s="441"/>
      <c r="J291" s="484">
        <f>J285+J287+J288+J290</f>
        <v>17000</v>
      </c>
      <c r="K291" s="874"/>
      <c r="L291" s="874"/>
      <c r="M291" s="874"/>
      <c r="N291" s="874"/>
      <c r="O291" s="874"/>
      <c r="P291" s="874"/>
      <c r="Q291" s="874"/>
      <c r="R291" s="874"/>
      <c r="S291" s="874"/>
      <c r="T291" s="874"/>
      <c r="U291" s="874"/>
      <c r="V291" s="874"/>
      <c r="W291" s="874"/>
      <c r="X291" s="874"/>
      <c r="Y291" s="874"/>
      <c r="Z291" s="874"/>
      <c r="AA291" s="874"/>
    </row>
    <row r="292" spans="1:27" x14ac:dyDescent="0.25">
      <c r="A292" s="813"/>
      <c r="B292" s="870"/>
      <c r="C292" s="66" t="s">
        <v>306</v>
      </c>
      <c r="D292" s="774" t="s">
        <v>306</v>
      </c>
      <c r="E292" s="649" t="s">
        <v>581</v>
      </c>
      <c r="F292" s="870" t="s">
        <v>892</v>
      </c>
      <c r="G292" s="694">
        <f>'Hệ số'!D5</f>
        <v>6.2E-2</v>
      </c>
      <c r="H292" s="484"/>
      <c r="I292" s="441"/>
      <c r="J292" s="484">
        <f>(J291)*G292</f>
        <v>1054</v>
      </c>
      <c r="K292" s="874"/>
      <c r="L292" s="874"/>
      <c r="M292" s="874"/>
      <c r="N292" s="874"/>
      <c r="O292" s="874"/>
      <c r="P292" s="874"/>
      <c r="Q292" s="874"/>
      <c r="R292" s="874"/>
      <c r="S292" s="874"/>
      <c r="T292" s="874"/>
      <c r="U292" s="874"/>
      <c r="V292" s="874"/>
      <c r="W292" s="874"/>
      <c r="X292" s="874"/>
      <c r="Y292" s="874"/>
      <c r="Z292" s="874"/>
      <c r="AA292" s="874"/>
    </row>
    <row r="293" spans="1:27" x14ac:dyDescent="0.25">
      <c r="A293" s="813"/>
      <c r="B293" s="870"/>
      <c r="C293" s="66" t="s">
        <v>306</v>
      </c>
      <c r="D293" s="774" t="s">
        <v>306</v>
      </c>
      <c r="E293" s="649" t="s">
        <v>634</v>
      </c>
      <c r="F293" s="870" t="s">
        <v>997</v>
      </c>
      <c r="G293" s="694">
        <f>'Hệ số'!D11</f>
        <v>1.1000000000000001E-2</v>
      </c>
      <c r="H293" s="484"/>
      <c r="I293" s="441"/>
      <c r="J293" s="484">
        <f>(J291)*G293</f>
        <v>187.00000000000003</v>
      </c>
      <c r="K293" s="874"/>
      <c r="L293" s="874"/>
      <c r="M293" s="874"/>
      <c r="N293" s="874"/>
      <c r="O293" s="874"/>
      <c r="P293" s="874"/>
      <c r="Q293" s="874"/>
      <c r="R293" s="874"/>
      <c r="S293" s="874"/>
      <c r="T293" s="874"/>
      <c r="U293" s="874"/>
      <c r="V293" s="874"/>
      <c r="W293" s="874"/>
      <c r="X293" s="874"/>
      <c r="Y293" s="874"/>
      <c r="Z293" s="874"/>
      <c r="AA293" s="874"/>
    </row>
    <row r="294" spans="1:27" ht="30" x14ac:dyDescent="0.25">
      <c r="A294" s="813"/>
      <c r="B294" s="870"/>
      <c r="C294" s="66" t="s">
        <v>306</v>
      </c>
      <c r="D294" s="774" t="s">
        <v>306</v>
      </c>
      <c r="E294" s="649" t="s">
        <v>51</v>
      </c>
      <c r="F294" s="870" t="s">
        <v>172</v>
      </c>
      <c r="G294" s="319">
        <f>'Hệ số'!D8</f>
        <v>0.02</v>
      </c>
      <c r="H294" s="484"/>
      <c r="I294" s="441"/>
      <c r="J294" s="484">
        <f>(J291)*G294</f>
        <v>340</v>
      </c>
      <c r="K294" s="874"/>
      <c r="L294" s="874"/>
      <c r="M294" s="874"/>
      <c r="N294" s="874"/>
      <c r="O294" s="874"/>
      <c r="P294" s="874"/>
      <c r="Q294" s="874"/>
      <c r="R294" s="874"/>
      <c r="S294" s="874"/>
      <c r="T294" s="874"/>
      <c r="U294" s="874"/>
      <c r="V294" s="874"/>
      <c r="W294" s="874"/>
      <c r="X294" s="874"/>
      <c r="Y294" s="874"/>
      <c r="Z294" s="874"/>
      <c r="AA294" s="874"/>
    </row>
    <row r="295" spans="1:27" x14ac:dyDescent="0.25">
      <c r="A295" s="813"/>
      <c r="B295" s="870"/>
      <c r="C295" s="66" t="s">
        <v>306</v>
      </c>
      <c r="D295" s="774" t="s">
        <v>306</v>
      </c>
      <c r="E295" s="649" t="s">
        <v>4</v>
      </c>
      <c r="F295" s="870" t="s">
        <v>1074</v>
      </c>
      <c r="G295" s="735"/>
      <c r="H295" s="484"/>
      <c r="I295" s="441"/>
      <c r="J295" s="484">
        <f>J292+J293+J294</f>
        <v>1581</v>
      </c>
      <c r="K295" s="874"/>
      <c r="L295" s="874"/>
      <c r="M295" s="874"/>
      <c r="N295" s="874"/>
      <c r="O295" s="874"/>
      <c r="P295" s="874"/>
      <c r="Q295" s="874"/>
      <c r="R295" s="874"/>
      <c r="S295" s="874"/>
      <c r="T295" s="874"/>
      <c r="U295" s="874"/>
      <c r="V295" s="874"/>
      <c r="W295" s="874"/>
      <c r="X295" s="874"/>
      <c r="Y295" s="874"/>
      <c r="Z295" s="874"/>
      <c r="AA295" s="874"/>
    </row>
    <row r="296" spans="1:27" ht="30" x14ac:dyDescent="0.25">
      <c r="A296" s="813"/>
      <c r="B296" s="870"/>
      <c r="C296" s="66" t="s">
        <v>306</v>
      </c>
      <c r="D296" s="774" t="s">
        <v>306</v>
      </c>
      <c r="E296" s="649" t="s">
        <v>926</v>
      </c>
      <c r="F296" s="870" t="s">
        <v>877</v>
      </c>
      <c r="G296" s="319">
        <f>'Hệ số'!D15</f>
        <v>0.06</v>
      </c>
      <c r="H296" s="484"/>
      <c r="I296" s="441"/>
      <c r="J296" s="484">
        <f>(J291+J295)*G296</f>
        <v>1114.8599999999999</v>
      </c>
      <c r="K296" s="874"/>
      <c r="L296" s="874"/>
      <c r="M296" s="874"/>
      <c r="N296" s="874"/>
      <c r="O296" s="874"/>
      <c r="P296" s="874"/>
      <c r="Q296" s="874"/>
      <c r="R296" s="874"/>
      <c r="S296" s="874"/>
      <c r="T296" s="874"/>
      <c r="U296" s="874"/>
      <c r="V296" s="874"/>
      <c r="W296" s="874"/>
      <c r="X296" s="874"/>
      <c r="Y296" s="874"/>
      <c r="Z296" s="874"/>
      <c r="AA296" s="874"/>
    </row>
    <row r="297" spans="1:27" x14ac:dyDescent="0.25">
      <c r="A297" s="813"/>
      <c r="B297" s="870"/>
      <c r="C297" s="66" t="s">
        <v>306</v>
      </c>
      <c r="D297" s="774" t="s">
        <v>306</v>
      </c>
      <c r="E297" s="421" t="s">
        <v>699</v>
      </c>
      <c r="F297" s="143" t="s">
        <v>516</v>
      </c>
      <c r="G297" s="735"/>
      <c r="H297" s="484"/>
      <c r="I297" s="441"/>
      <c r="J297" s="270">
        <f>J291+J295+J296</f>
        <v>19695.86</v>
      </c>
      <c r="K297" s="874"/>
      <c r="L297" s="874"/>
      <c r="M297" s="874"/>
      <c r="N297" s="874"/>
      <c r="O297" s="874"/>
      <c r="P297" s="874"/>
      <c r="Q297" s="874"/>
      <c r="R297" s="874"/>
      <c r="S297" s="874"/>
      <c r="T297" s="874"/>
      <c r="U297" s="874"/>
      <c r="V297" s="874"/>
      <c r="W297" s="874"/>
      <c r="X297" s="874"/>
      <c r="Y297" s="874"/>
      <c r="Z297" s="874"/>
      <c r="AA297" s="874"/>
    </row>
    <row r="298" spans="1:27" x14ac:dyDescent="0.25">
      <c r="A298" s="813"/>
      <c r="B298" s="870"/>
      <c r="C298" s="66" t="s">
        <v>306</v>
      </c>
      <c r="D298" s="774" t="s">
        <v>306</v>
      </c>
      <c r="E298" s="649" t="s">
        <v>1117</v>
      </c>
      <c r="F298" s="870" t="s">
        <v>447</v>
      </c>
      <c r="G298" s="319">
        <f>'Hệ số'!D17</f>
        <v>0.08</v>
      </c>
      <c r="H298" s="484"/>
      <c r="I298" s="441"/>
      <c r="J298" s="484">
        <f>(J297)*G298</f>
        <v>1575.6688000000001</v>
      </c>
      <c r="K298" s="874"/>
      <c r="L298" s="874"/>
      <c r="M298" s="874"/>
      <c r="N298" s="874"/>
      <c r="O298" s="874"/>
      <c r="P298" s="874"/>
      <c r="Q298" s="874"/>
      <c r="R298" s="874"/>
      <c r="S298" s="874"/>
      <c r="T298" s="874"/>
      <c r="U298" s="874"/>
      <c r="V298" s="874"/>
      <c r="W298" s="874"/>
      <c r="X298" s="874"/>
      <c r="Y298" s="874"/>
      <c r="Z298" s="874"/>
      <c r="AA298" s="874"/>
    </row>
    <row r="299" spans="1:27" x14ac:dyDescent="0.25">
      <c r="A299" s="468"/>
      <c r="B299" s="534"/>
      <c r="C299" s="638" t="s">
        <v>306</v>
      </c>
      <c r="D299" s="420" t="s">
        <v>306</v>
      </c>
      <c r="E299" s="438" t="s">
        <v>1316</v>
      </c>
      <c r="F299" s="698" t="s">
        <v>927</v>
      </c>
      <c r="G299" s="750"/>
      <c r="H299" s="128"/>
      <c r="I299" s="462"/>
      <c r="J299" s="880">
        <f>J297+J298</f>
        <v>21271.5288</v>
      </c>
      <c r="K299" s="874"/>
      <c r="L299" s="874"/>
      <c r="M299" s="874"/>
      <c r="N299" s="874"/>
      <c r="O299" s="874"/>
      <c r="P299" s="874"/>
      <c r="Q299" s="874"/>
      <c r="R299" s="874"/>
      <c r="S299" s="874"/>
      <c r="T299" s="874"/>
      <c r="U299" s="874"/>
      <c r="V299" s="874"/>
      <c r="W299" s="874"/>
      <c r="X299" s="874"/>
      <c r="Y299" s="874"/>
      <c r="Z299" s="874"/>
      <c r="AA299" s="874"/>
    </row>
    <row r="300" spans="1:27" ht="30" x14ac:dyDescent="0.25">
      <c r="A300" s="895"/>
      <c r="B300" s="58">
        <v>19</v>
      </c>
      <c r="C300" s="137" t="str">
        <f>'Tiên lượng'!C40</f>
        <v>AB.27103</v>
      </c>
      <c r="D300" s="137" t="str">
        <f>'Tiên lượng'!C40</f>
        <v>AB.27103</v>
      </c>
      <c r="E300" s="693" t="str">
        <f>'Tiên lượng'!D40</f>
        <v>Đào kênh mương, chiều rộng kênh mương ≤6m bằng máy đào 0,4m3 - Cấp đất III</v>
      </c>
      <c r="F300" s="58" t="str">
        <f>'Tiên lượng'!E40</f>
        <v>100m3</v>
      </c>
      <c r="G300" s="254"/>
      <c r="H300" s="194"/>
      <c r="I300" s="527"/>
      <c r="J300" s="194"/>
      <c r="K300" s="874"/>
      <c r="L300" s="874"/>
      <c r="M300" s="874"/>
      <c r="N300" s="874"/>
      <c r="O300" s="874"/>
      <c r="P300" s="874"/>
      <c r="Q300" s="874"/>
      <c r="R300" s="874"/>
      <c r="S300" s="874"/>
      <c r="T300" s="874"/>
      <c r="U300" s="874"/>
      <c r="V300" s="874"/>
      <c r="W300" s="874"/>
      <c r="X300" s="874"/>
      <c r="Y300" s="874"/>
      <c r="Z300" s="874"/>
      <c r="AA300" s="874"/>
    </row>
    <row r="301" spans="1:27" x14ac:dyDescent="0.25">
      <c r="A301" s="129"/>
      <c r="B301" s="198"/>
      <c r="C301" s="810" t="s">
        <v>306</v>
      </c>
      <c r="D301" s="810" t="s">
        <v>306</v>
      </c>
      <c r="E301" s="473" t="s">
        <v>1372</v>
      </c>
      <c r="F301" s="198" t="s">
        <v>479</v>
      </c>
      <c r="G301" s="32"/>
      <c r="H301" s="333"/>
      <c r="I301" s="671"/>
      <c r="J301" s="333">
        <v>0</v>
      </c>
      <c r="K301" s="874"/>
      <c r="L301" s="874"/>
      <c r="M301" s="874"/>
      <c r="N301" s="874"/>
      <c r="O301" s="874"/>
      <c r="P301" s="874"/>
      <c r="Q301" s="874"/>
      <c r="R301" s="874"/>
      <c r="S301" s="874"/>
      <c r="T301" s="874"/>
      <c r="U301" s="874"/>
      <c r="V301" s="874"/>
      <c r="W301" s="874"/>
      <c r="X301" s="874"/>
      <c r="Y301" s="874"/>
      <c r="Z301" s="874"/>
      <c r="AA301" s="874"/>
    </row>
    <row r="302" spans="1:27" x14ac:dyDescent="0.25">
      <c r="A302" s="129"/>
      <c r="B302" s="198"/>
      <c r="C302" s="810" t="s">
        <v>306</v>
      </c>
      <c r="D302" s="810" t="s">
        <v>306</v>
      </c>
      <c r="E302" s="473" t="s">
        <v>890</v>
      </c>
      <c r="F302" s="198" t="s">
        <v>125</v>
      </c>
      <c r="G302" s="32"/>
      <c r="H302" s="333"/>
      <c r="I302" s="671"/>
      <c r="J302" s="333">
        <f>SUM(J303:J303)</f>
        <v>1392283.6199999999</v>
      </c>
      <c r="K302" s="874"/>
      <c r="L302" s="874"/>
      <c r="M302" s="874"/>
      <c r="N302" s="874"/>
      <c r="O302" s="874"/>
      <c r="P302" s="874"/>
      <c r="Q302" s="874"/>
      <c r="R302" s="874"/>
      <c r="S302" s="874"/>
      <c r="T302" s="874"/>
      <c r="U302" s="874"/>
      <c r="V302" s="874"/>
      <c r="W302" s="874"/>
      <c r="X302" s="874"/>
      <c r="Y302" s="874"/>
      <c r="Z302" s="874"/>
      <c r="AA302" s="874"/>
    </row>
    <row r="303" spans="1:27" x14ac:dyDescent="0.25">
      <c r="A303" s="813"/>
      <c r="B303" s="870"/>
      <c r="C303" s="66" t="s">
        <v>306</v>
      </c>
      <c r="D303" s="774" t="s">
        <v>591</v>
      </c>
      <c r="E303" s="649" t="str">
        <f>" - " &amp; 'Giá NC'!E5</f>
        <v xml:space="preserve"> - Nhân công bậc 3,0/7 - Nhóm 1</v>
      </c>
      <c r="F303" s="870" t="str">
        <f>'Giá NC'!F5</f>
        <v>công</v>
      </c>
      <c r="G303" s="725">
        <f>PTVT!G135</f>
        <v>6.09</v>
      </c>
      <c r="H303" s="484">
        <f>'Giá NC'!K5</f>
        <v>228618</v>
      </c>
      <c r="I303" s="441">
        <f>'Tiên lượng'!W40</f>
        <v>1</v>
      </c>
      <c r="J303" s="484">
        <f>PRODUCT(G303,H303,I303)</f>
        <v>1392283.6199999999</v>
      </c>
      <c r="K303" s="874"/>
      <c r="L303" s="874"/>
      <c r="M303" s="874"/>
      <c r="N303" s="874"/>
      <c r="O303" s="874"/>
      <c r="P303" s="874"/>
      <c r="Q303" s="874"/>
      <c r="R303" s="874"/>
      <c r="S303" s="874"/>
      <c r="T303" s="874"/>
      <c r="U303" s="874"/>
      <c r="V303" s="874"/>
      <c r="W303" s="874"/>
      <c r="X303" s="874"/>
      <c r="Y303" s="874"/>
      <c r="Z303" s="874"/>
      <c r="AA303" s="874"/>
    </row>
    <row r="304" spans="1:27" x14ac:dyDescent="0.25">
      <c r="A304" s="129"/>
      <c r="B304" s="198"/>
      <c r="C304" s="810" t="s">
        <v>306</v>
      </c>
      <c r="D304" s="810" t="s">
        <v>306</v>
      </c>
      <c r="E304" s="473" t="s">
        <v>556</v>
      </c>
      <c r="F304" s="198" t="s">
        <v>539</v>
      </c>
      <c r="G304" s="32"/>
      <c r="H304" s="333"/>
      <c r="I304" s="671"/>
      <c r="J304" s="333">
        <f>SUM(J305:J305)</f>
        <v>2542400</v>
      </c>
      <c r="K304" s="874"/>
      <c r="L304" s="874"/>
      <c r="M304" s="874"/>
      <c r="N304" s="874"/>
      <c r="O304" s="874"/>
      <c r="P304" s="874"/>
      <c r="Q304" s="874"/>
      <c r="R304" s="874"/>
      <c r="S304" s="874"/>
      <c r="T304" s="874"/>
      <c r="U304" s="874"/>
      <c r="V304" s="874"/>
      <c r="W304" s="874"/>
      <c r="X304" s="874"/>
      <c r="Y304" s="874"/>
      <c r="Z304" s="874"/>
      <c r="AA304" s="874"/>
    </row>
    <row r="305" spans="1:27" x14ac:dyDescent="0.25">
      <c r="A305" s="813"/>
      <c r="B305" s="870"/>
      <c r="C305" s="66" t="s">
        <v>306</v>
      </c>
      <c r="D305" s="774" t="s">
        <v>921</v>
      </c>
      <c r="E305" s="649" t="str">
        <f>" - " &amp; 'Giá Máy'!E11</f>
        <v xml:space="preserve"> - Máy đào 0,4m3</v>
      </c>
      <c r="F305" s="870" t="str">
        <f>'Giá Máy'!F11</f>
        <v>ca</v>
      </c>
      <c r="G305" s="725">
        <f>PTVT!G137</f>
        <v>0.90800000000000003</v>
      </c>
      <c r="H305" s="484">
        <f>'Giá Máy'!O11</f>
        <v>2800000</v>
      </c>
      <c r="I305" s="441">
        <f>'Tiên lượng'!X40</f>
        <v>1</v>
      </c>
      <c r="J305" s="484">
        <f>PRODUCT(G305,H305,I305)</f>
        <v>2542400</v>
      </c>
      <c r="K305" s="874"/>
      <c r="L305" s="874"/>
      <c r="M305" s="874"/>
      <c r="N305" s="874"/>
      <c r="O305" s="874"/>
      <c r="P305" s="874"/>
      <c r="Q305" s="874"/>
      <c r="R305" s="874"/>
      <c r="S305" s="874"/>
      <c r="T305" s="874"/>
      <c r="U305" s="874"/>
      <c r="V305" s="874"/>
      <c r="W305" s="874"/>
      <c r="X305" s="874"/>
      <c r="Y305" s="874"/>
      <c r="Z305" s="874"/>
      <c r="AA305" s="874"/>
    </row>
    <row r="306" spans="1:27" x14ac:dyDescent="0.25">
      <c r="A306" s="813"/>
      <c r="B306" s="870"/>
      <c r="C306" s="66" t="s">
        <v>306</v>
      </c>
      <c r="D306" s="774" t="s">
        <v>306</v>
      </c>
      <c r="E306" s="649" t="s">
        <v>1211</v>
      </c>
      <c r="F306" s="870" t="s">
        <v>969</v>
      </c>
      <c r="G306" s="735"/>
      <c r="H306" s="484"/>
      <c r="I306" s="441"/>
      <c r="J306" s="484">
        <f>J301+J302+J304</f>
        <v>3934683.62</v>
      </c>
      <c r="K306" s="874"/>
      <c r="L306" s="874"/>
      <c r="M306" s="874"/>
      <c r="N306" s="874"/>
      <c r="O306" s="874"/>
      <c r="P306" s="874"/>
      <c r="Q306" s="874"/>
      <c r="R306" s="874"/>
      <c r="S306" s="874"/>
      <c r="T306" s="874"/>
      <c r="U306" s="874"/>
      <c r="V306" s="874"/>
      <c r="W306" s="874"/>
      <c r="X306" s="874"/>
      <c r="Y306" s="874"/>
      <c r="Z306" s="874"/>
      <c r="AA306" s="874"/>
    </row>
    <row r="307" spans="1:27" x14ac:dyDescent="0.25">
      <c r="A307" s="813"/>
      <c r="B307" s="870"/>
      <c r="C307" s="66" t="s">
        <v>306</v>
      </c>
      <c r="D307" s="774" t="s">
        <v>306</v>
      </c>
      <c r="E307" s="649" t="s">
        <v>581</v>
      </c>
      <c r="F307" s="870" t="s">
        <v>892</v>
      </c>
      <c r="G307" s="694">
        <f>'Hệ số'!D5</f>
        <v>6.2E-2</v>
      </c>
      <c r="H307" s="484"/>
      <c r="I307" s="441"/>
      <c r="J307" s="484">
        <f>(J306)*G307</f>
        <v>243950.38443999999</v>
      </c>
      <c r="K307" s="874"/>
      <c r="L307" s="874"/>
      <c r="M307" s="874"/>
      <c r="N307" s="874"/>
      <c r="O307" s="874"/>
      <c r="P307" s="874"/>
      <c r="Q307" s="874"/>
      <c r="R307" s="874"/>
      <c r="S307" s="874"/>
      <c r="T307" s="874"/>
      <c r="U307" s="874"/>
      <c r="V307" s="874"/>
      <c r="W307" s="874"/>
      <c r="X307" s="874"/>
      <c r="Y307" s="874"/>
      <c r="Z307" s="874"/>
      <c r="AA307" s="874"/>
    </row>
    <row r="308" spans="1:27" x14ac:dyDescent="0.25">
      <c r="A308" s="813"/>
      <c r="B308" s="870"/>
      <c r="C308" s="66" t="s">
        <v>306</v>
      </c>
      <c r="D308" s="774" t="s">
        <v>306</v>
      </c>
      <c r="E308" s="649" t="s">
        <v>634</v>
      </c>
      <c r="F308" s="870" t="s">
        <v>997</v>
      </c>
      <c r="G308" s="694">
        <f>'Hệ số'!D11</f>
        <v>1.1000000000000001E-2</v>
      </c>
      <c r="H308" s="484"/>
      <c r="I308" s="441"/>
      <c r="J308" s="484">
        <f>(J306)*G308</f>
        <v>43281.519820000009</v>
      </c>
      <c r="K308" s="874"/>
      <c r="L308" s="874"/>
      <c r="M308" s="874"/>
      <c r="N308" s="874"/>
      <c r="O308" s="874"/>
      <c r="P308" s="874"/>
      <c r="Q308" s="874"/>
      <c r="R308" s="874"/>
      <c r="S308" s="874"/>
      <c r="T308" s="874"/>
      <c r="U308" s="874"/>
      <c r="V308" s="874"/>
      <c r="W308" s="874"/>
      <c r="X308" s="874"/>
      <c r="Y308" s="874"/>
      <c r="Z308" s="874"/>
      <c r="AA308" s="874"/>
    </row>
    <row r="309" spans="1:27" ht="30" x14ac:dyDescent="0.25">
      <c r="A309" s="813"/>
      <c r="B309" s="870"/>
      <c r="C309" s="66" t="s">
        <v>306</v>
      </c>
      <c r="D309" s="774" t="s">
        <v>306</v>
      </c>
      <c r="E309" s="649" t="s">
        <v>51</v>
      </c>
      <c r="F309" s="870" t="s">
        <v>172</v>
      </c>
      <c r="G309" s="319">
        <f>'Hệ số'!D8</f>
        <v>0.02</v>
      </c>
      <c r="H309" s="484"/>
      <c r="I309" s="441"/>
      <c r="J309" s="484">
        <f>(J306)*G309</f>
        <v>78693.67240000001</v>
      </c>
      <c r="K309" s="874"/>
      <c r="L309" s="874"/>
      <c r="M309" s="874"/>
      <c r="N309" s="874"/>
      <c r="O309" s="874"/>
      <c r="P309" s="874"/>
      <c r="Q309" s="874"/>
      <c r="R309" s="874"/>
      <c r="S309" s="874"/>
      <c r="T309" s="874"/>
      <c r="U309" s="874"/>
      <c r="V309" s="874"/>
      <c r="W309" s="874"/>
      <c r="X309" s="874"/>
      <c r="Y309" s="874"/>
      <c r="Z309" s="874"/>
      <c r="AA309" s="874"/>
    </row>
    <row r="310" spans="1:27" x14ac:dyDescent="0.25">
      <c r="A310" s="813"/>
      <c r="B310" s="870"/>
      <c r="C310" s="66" t="s">
        <v>306</v>
      </c>
      <c r="D310" s="774" t="s">
        <v>306</v>
      </c>
      <c r="E310" s="649" t="s">
        <v>4</v>
      </c>
      <c r="F310" s="870" t="s">
        <v>1074</v>
      </c>
      <c r="G310" s="735"/>
      <c r="H310" s="484"/>
      <c r="I310" s="441"/>
      <c r="J310" s="484">
        <f>J307+J308+J309</f>
        <v>365925.57666000002</v>
      </c>
      <c r="K310" s="874"/>
      <c r="L310" s="874"/>
      <c r="M310" s="874"/>
      <c r="N310" s="874"/>
      <c r="O310" s="874"/>
      <c r="P310" s="874"/>
      <c r="Q310" s="874"/>
      <c r="R310" s="874"/>
      <c r="S310" s="874"/>
      <c r="T310" s="874"/>
      <c r="U310" s="874"/>
      <c r="V310" s="874"/>
      <c r="W310" s="874"/>
      <c r="X310" s="874"/>
      <c r="Y310" s="874"/>
      <c r="Z310" s="874"/>
      <c r="AA310" s="874"/>
    </row>
    <row r="311" spans="1:27" ht="30" x14ac:dyDescent="0.25">
      <c r="A311" s="813"/>
      <c r="B311" s="870"/>
      <c r="C311" s="66" t="s">
        <v>306</v>
      </c>
      <c r="D311" s="774" t="s">
        <v>306</v>
      </c>
      <c r="E311" s="649" t="s">
        <v>926</v>
      </c>
      <c r="F311" s="870" t="s">
        <v>877</v>
      </c>
      <c r="G311" s="319">
        <f>'Hệ số'!D15</f>
        <v>0.06</v>
      </c>
      <c r="H311" s="484"/>
      <c r="I311" s="441"/>
      <c r="J311" s="484">
        <f>(J306+J310)*G311</f>
        <v>258036.55179959998</v>
      </c>
      <c r="K311" s="874"/>
      <c r="L311" s="874"/>
      <c r="M311" s="874"/>
      <c r="N311" s="874"/>
      <c r="O311" s="874"/>
      <c r="P311" s="874"/>
      <c r="Q311" s="874"/>
      <c r="R311" s="874"/>
      <c r="S311" s="874"/>
      <c r="T311" s="874"/>
      <c r="U311" s="874"/>
      <c r="V311" s="874"/>
      <c r="W311" s="874"/>
      <c r="X311" s="874"/>
      <c r="Y311" s="874"/>
      <c r="Z311" s="874"/>
      <c r="AA311" s="874"/>
    </row>
    <row r="312" spans="1:27" x14ac:dyDescent="0.25">
      <c r="A312" s="813"/>
      <c r="B312" s="870"/>
      <c r="C312" s="66" t="s">
        <v>306</v>
      </c>
      <c r="D312" s="774" t="s">
        <v>306</v>
      </c>
      <c r="E312" s="421" t="s">
        <v>699</v>
      </c>
      <c r="F312" s="143" t="s">
        <v>516</v>
      </c>
      <c r="G312" s="735"/>
      <c r="H312" s="484"/>
      <c r="I312" s="441"/>
      <c r="J312" s="270">
        <f>J306+J310+J311</f>
        <v>4558645.7484595999</v>
      </c>
      <c r="K312" s="874"/>
      <c r="L312" s="874"/>
      <c r="M312" s="874"/>
      <c r="N312" s="874"/>
      <c r="O312" s="874"/>
      <c r="P312" s="874"/>
      <c r="Q312" s="874"/>
      <c r="R312" s="874"/>
      <c r="S312" s="874"/>
      <c r="T312" s="874"/>
      <c r="U312" s="874"/>
      <c r="V312" s="874"/>
      <c r="W312" s="874"/>
      <c r="X312" s="874"/>
      <c r="Y312" s="874"/>
      <c r="Z312" s="874"/>
      <c r="AA312" s="874"/>
    </row>
    <row r="313" spans="1:27" x14ac:dyDescent="0.25">
      <c r="A313" s="813"/>
      <c r="B313" s="870"/>
      <c r="C313" s="66" t="s">
        <v>306</v>
      </c>
      <c r="D313" s="774" t="s">
        <v>306</v>
      </c>
      <c r="E313" s="649" t="s">
        <v>1117</v>
      </c>
      <c r="F313" s="870" t="s">
        <v>447</v>
      </c>
      <c r="G313" s="319">
        <f>'Hệ số'!D17</f>
        <v>0.08</v>
      </c>
      <c r="H313" s="484"/>
      <c r="I313" s="441"/>
      <c r="J313" s="484">
        <f>(J312)*G313</f>
        <v>364691.65987676801</v>
      </c>
      <c r="K313" s="874"/>
      <c r="L313" s="874"/>
      <c r="M313" s="874"/>
      <c r="N313" s="874"/>
      <c r="O313" s="874"/>
      <c r="P313" s="874"/>
      <c r="Q313" s="874"/>
      <c r="R313" s="874"/>
      <c r="S313" s="874"/>
      <c r="T313" s="874"/>
      <c r="U313" s="874"/>
      <c r="V313" s="874"/>
      <c r="W313" s="874"/>
      <c r="X313" s="874"/>
      <c r="Y313" s="874"/>
      <c r="Z313" s="874"/>
      <c r="AA313" s="874"/>
    </row>
    <row r="314" spans="1:27" x14ac:dyDescent="0.25">
      <c r="A314" s="468"/>
      <c r="B314" s="534"/>
      <c r="C314" s="638" t="s">
        <v>306</v>
      </c>
      <c r="D314" s="420" t="s">
        <v>306</v>
      </c>
      <c r="E314" s="438" t="s">
        <v>1316</v>
      </c>
      <c r="F314" s="698" t="s">
        <v>927</v>
      </c>
      <c r="G314" s="750"/>
      <c r="H314" s="128"/>
      <c r="I314" s="462"/>
      <c r="J314" s="880">
        <f>J312+J313</f>
        <v>4923337.4083363675</v>
      </c>
      <c r="K314" s="874"/>
      <c r="L314" s="874"/>
      <c r="M314" s="874"/>
      <c r="N314" s="874"/>
      <c r="O314" s="874"/>
      <c r="P314" s="874"/>
      <c r="Q314" s="874"/>
      <c r="R314" s="874"/>
      <c r="S314" s="874"/>
      <c r="T314" s="874"/>
      <c r="U314" s="874"/>
      <c r="V314" s="874"/>
      <c r="W314" s="874"/>
      <c r="X314" s="874"/>
      <c r="Y314" s="874"/>
      <c r="Z314" s="874"/>
      <c r="AA314" s="874"/>
    </row>
    <row r="315" spans="1:27" ht="45" x14ac:dyDescent="0.25">
      <c r="A315" s="895"/>
      <c r="B315" s="58">
        <v>20</v>
      </c>
      <c r="C315" s="137" t="str">
        <f>'Tiên lượng'!C42</f>
        <v>AB.11503</v>
      </c>
      <c r="D315" s="137" t="str">
        <f>'Tiên lượng'!C42</f>
        <v>AB.11503</v>
      </c>
      <c r="E315" s="693" t="str">
        <f>'Tiên lượng'!D42</f>
        <v>Đào kênh mương, rãnh thoát nước, đường ống, đường cáp bằng thủ công, rộng ≤1m, sâu ≤1m - Cấp đất III</v>
      </c>
      <c r="F315" s="58" t="str">
        <f>'Tiên lượng'!E42</f>
        <v>1m3</v>
      </c>
      <c r="G315" s="254"/>
      <c r="H315" s="194"/>
      <c r="I315" s="527"/>
      <c r="J315" s="194"/>
      <c r="K315" s="874"/>
      <c r="L315" s="874"/>
      <c r="M315" s="874"/>
      <c r="N315" s="874"/>
      <c r="O315" s="874"/>
      <c r="P315" s="874"/>
      <c r="Q315" s="874"/>
      <c r="R315" s="874"/>
      <c r="S315" s="874"/>
      <c r="T315" s="874"/>
      <c r="U315" s="874"/>
      <c r="V315" s="874"/>
      <c r="W315" s="874"/>
      <c r="X315" s="874"/>
      <c r="Y315" s="874"/>
      <c r="Z315" s="874"/>
      <c r="AA315" s="874"/>
    </row>
    <row r="316" spans="1:27" x14ac:dyDescent="0.25">
      <c r="A316" s="129"/>
      <c r="B316" s="198"/>
      <c r="C316" s="810" t="s">
        <v>306</v>
      </c>
      <c r="D316" s="810" t="s">
        <v>306</v>
      </c>
      <c r="E316" s="473" t="s">
        <v>1372</v>
      </c>
      <c r="F316" s="198" t="s">
        <v>479</v>
      </c>
      <c r="G316" s="32"/>
      <c r="H316" s="333"/>
      <c r="I316" s="671"/>
      <c r="J316" s="333">
        <v>0</v>
      </c>
      <c r="K316" s="874"/>
      <c r="L316" s="874"/>
      <c r="M316" s="874"/>
      <c r="N316" s="874"/>
      <c r="O316" s="874"/>
      <c r="P316" s="874"/>
      <c r="Q316" s="874"/>
      <c r="R316" s="874"/>
      <c r="S316" s="874"/>
      <c r="T316" s="874"/>
      <c r="U316" s="874"/>
      <c r="V316" s="874"/>
      <c r="W316" s="874"/>
      <c r="X316" s="874"/>
      <c r="Y316" s="874"/>
      <c r="Z316" s="874"/>
      <c r="AA316" s="874"/>
    </row>
    <row r="317" spans="1:27" x14ac:dyDescent="0.25">
      <c r="A317" s="129"/>
      <c r="B317" s="198"/>
      <c r="C317" s="810" t="s">
        <v>306</v>
      </c>
      <c r="D317" s="810" t="s">
        <v>306</v>
      </c>
      <c r="E317" s="473" t="s">
        <v>890</v>
      </c>
      <c r="F317" s="198" t="s">
        <v>125</v>
      </c>
      <c r="G317" s="32"/>
      <c r="H317" s="333"/>
      <c r="I317" s="671"/>
      <c r="J317" s="333">
        <f>SUM(J318:J318)</f>
        <v>370361.16000000003</v>
      </c>
      <c r="K317" s="874"/>
      <c r="L317" s="874"/>
      <c r="M317" s="874"/>
      <c r="N317" s="874"/>
      <c r="O317" s="874"/>
      <c r="P317" s="874"/>
      <c r="Q317" s="874"/>
      <c r="R317" s="874"/>
      <c r="S317" s="874"/>
      <c r="T317" s="874"/>
      <c r="U317" s="874"/>
      <c r="V317" s="874"/>
      <c r="W317" s="874"/>
      <c r="X317" s="874"/>
      <c r="Y317" s="874"/>
      <c r="Z317" s="874"/>
      <c r="AA317" s="874"/>
    </row>
    <row r="318" spans="1:27" x14ac:dyDescent="0.25">
      <c r="A318" s="813"/>
      <c r="B318" s="870"/>
      <c r="C318" s="66" t="s">
        <v>306</v>
      </c>
      <c r="D318" s="774" t="s">
        <v>591</v>
      </c>
      <c r="E318" s="649" t="str">
        <f>" - " &amp; 'Giá NC'!E5</f>
        <v xml:space="preserve"> - Nhân công bậc 3,0/7 - Nhóm 1</v>
      </c>
      <c r="F318" s="870" t="str">
        <f>'Giá NC'!F5</f>
        <v>công</v>
      </c>
      <c r="G318" s="725">
        <f>PTVT!G140</f>
        <v>1.62</v>
      </c>
      <c r="H318" s="484">
        <f>'Giá NC'!K5</f>
        <v>228618</v>
      </c>
      <c r="I318" s="441">
        <f>'Tiên lượng'!W42</f>
        <v>1</v>
      </c>
      <c r="J318" s="484">
        <f>PRODUCT(G318,H318,I318)</f>
        <v>370361.16000000003</v>
      </c>
      <c r="K318" s="874"/>
      <c r="L318" s="874"/>
      <c r="M318" s="874"/>
      <c r="N318" s="874"/>
      <c r="O318" s="874"/>
      <c r="P318" s="874"/>
      <c r="Q318" s="874"/>
      <c r="R318" s="874"/>
      <c r="S318" s="874"/>
      <c r="T318" s="874"/>
      <c r="U318" s="874"/>
      <c r="V318" s="874"/>
      <c r="W318" s="874"/>
      <c r="X318" s="874"/>
      <c r="Y318" s="874"/>
      <c r="Z318" s="874"/>
      <c r="AA318" s="874"/>
    </row>
    <row r="319" spans="1:27" x14ac:dyDescent="0.25">
      <c r="A319" s="129"/>
      <c r="B319" s="198"/>
      <c r="C319" s="810" t="s">
        <v>306</v>
      </c>
      <c r="D319" s="810" t="s">
        <v>306</v>
      </c>
      <c r="E319" s="473" t="s">
        <v>556</v>
      </c>
      <c r="F319" s="198" t="s">
        <v>539</v>
      </c>
      <c r="G319" s="32"/>
      <c r="H319" s="333"/>
      <c r="I319" s="671"/>
      <c r="J319" s="333">
        <v>0</v>
      </c>
      <c r="K319" s="874"/>
      <c r="L319" s="874"/>
      <c r="M319" s="874"/>
      <c r="N319" s="874"/>
      <c r="O319" s="874"/>
      <c r="P319" s="874"/>
      <c r="Q319" s="874"/>
      <c r="R319" s="874"/>
      <c r="S319" s="874"/>
      <c r="T319" s="874"/>
      <c r="U319" s="874"/>
      <c r="V319" s="874"/>
      <c r="W319" s="874"/>
      <c r="X319" s="874"/>
      <c r="Y319" s="874"/>
      <c r="Z319" s="874"/>
      <c r="AA319" s="874"/>
    </row>
    <row r="320" spans="1:27" x14ac:dyDescent="0.25">
      <c r="A320" s="813"/>
      <c r="B320" s="870"/>
      <c r="C320" s="66" t="s">
        <v>306</v>
      </c>
      <c r="D320" s="774" t="s">
        <v>306</v>
      </c>
      <c r="E320" s="649" t="s">
        <v>1211</v>
      </c>
      <c r="F320" s="870" t="s">
        <v>969</v>
      </c>
      <c r="G320" s="735"/>
      <c r="H320" s="484"/>
      <c r="I320" s="441"/>
      <c r="J320" s="484">
        <f>J316+J317+J319</f>
        <v>370361.16000000003</v>
      </c>
      <c r="K320" s="874"/>
      <c r="L320" s="874"/>
      <c r="M320" s="874"/>
      <c r="N320" s="874"/>
      <c r="O320" s="874"/>
      <c r="P320" s="874"/>
      <c r="Q320" s="874"/>
      <c r="R320" s="874"/>
      <c r="S320" s="874"/>
      <c r="T320" s="874"/>
      <c r="U320" s="874"/>
      <c r="V320" s="874"/>
      <c r="W320" s="874"/>
      <c r="X320" s="874"/>
      <c r="Y320" s="874"/>
      <c r="Z320" s="874"/>
      <c r="AA320" s="874"/>
    </row>
    <row r="321" spans="1:27" x14ac:dyDescent="0.25">
      <c r="A321" s="813"/>
      <c r="B321" s="870"/>
      <c r="C321" s="66" t="s">
        <v>306</v>
      </c>
      <c r="D321" s="774" t="s">
        <v>306</v>
      </c>
      <c r="E321" s="649" t="s">
        <v>581</v>
      </c>
      <c r="F321" s="870" t="s">
        <v>892</v>
      </c>
      <c r="G321" s="694">
        <f>'Hệ số'!D5</f>
        <v>6.2E-2</v>
      </c>
      <c r="H321" s="484"/>
      <c r="I321" s="441"/>
      <c r="J321" s="484">
        <f>(J320)*G321</f>
        <v>22962.391920000002</v>
      </c>
      <c r="K321" s="874"/>
      <c r="L321" s="874"/>
      <c r="M321" s="874"/>
      <c r="N321" s="874"/>
      <c r="O321" s="874"/>
      <c r="P321" s="874"/>
      <c r="Q321" s="874"/>
      <c r="R321" s="874"/>
      <c r="S321" s="874"/>
      <c r="T321" s="874"/>
      <c r="U321" s="874"/>
      <c r="V321" s="874"/>
      <c r="W321" s="874"/>
      <c r="X321" s="874"/>
      <c r="Y321" s="874"/>
      <c r="Z321" s="874"/>
      <c r="AA321" s="874"/>
    </row>
    <row r="322" spans="1:27" x14ac:dyDescent="0.25">
      <c r="A322" s="813"/>
      <c r="B322" s="870"/>
      <c r="C322" s="66" t="s">
        <v>306</v>
      </c>
      <c r="D322" s="774" t="s">
        <v>306</v>
      </c>
      <c r="E322" s="649" t="s">
        <v>634</v>
      </c>
      <c r="F322" s="870" t="s">
        <v>997</v>
      </c>
      <c r="G322" s="694">
        <f>'Hệ số'!D11</f>
        <v>1.1000000000000001E-2</v>
      </c>
      <c r="H322" s="484"/>
      <c r="I322" s="441"/>
      <c r="J322" s="484">
        <f>(J320)*G322</f>
        <v>4073.9727600000006</v>
      </c>
      <c r="K322" s="874"/>
      <c r="L322" s="874"/>
      <c r="M322" s="874"/>
      <c r="N322" s="874"/>
      <c r="O322" s="874"/>
      <c r="P322" s="874"/>
      <c r="Q322" s="874"/>
      <c r="R322" s="874"/>
      <c r="S322" s="874"/>
      <c r="T322" s="874"/>
      <c r="U322" s="874"/>
      <c r="V322" s="874"/>
      <c r="W322" s="874"/>
      <c r="X322" s="874"/>
      <c r="Y322" s="874"/>
      <c r="Z322" s="874"/>
      <c r="AA322" s="874"/>
    </row>
    <row r="323" spans="1:27" ht="30" x14ac:dyDescent="0.25">
      <c r="A323" s="813"/>
      <c r="B323" s="870"/>
      <c r="C323" s="66" t="s">
        <v>306</v>
      </c>
      <c r="D323" s="774" t="s">
        <v>306</v>
      </c>
      <c r="E323" s="649" t="s">
        <v>51</v>
      </c>
      <c r="F323" s="870" t="s">
        <v>172</v>
      </c>
      <c r="G323" s="319">
        <f>'Hệ số'!D8</f>
        <v>0.02</v>
      </c>
      <c r="H323" s="484"/>
      <c r="I323" s="441"/>
      <c r="J323" s="484">
        <f>(J320)*G323</f>
        <v>7407.2232000000004</v>
      </c>
      <c r="K323" s="874"/>
      <c r="L323" s="874"/>
      <c r="M323" s="874"/>
      <c r="N323" s="874"/>
      <c r="O323" s="874"/>
      <c r="P323" s="874"/>
      <c r="Q323" s="874"/>
      <c r="R323" s="874"/>
      <c r="S323" s="874"/>
      <c r="T323" s="874"/>
      <c r="U323" s="874"/>
      <c r="V323" s="874"/>
      <c r="W323" s="874"/>
      <c r="X323" s="874"/>
      <c r="Y323" s="874"/>
      <c r="Z323" s="874"/>
      <c r="AA323" s="874"/>
    </row>
    <row r="324" spans="1:27" x14ac:dyDescent="0.25">
      <c r="A324" s="813"/>
      <c r="B324" s="870"/>
      <c r="C324" s="66" t="s">
        <v>306</v>
      </c>
      <c r="D324" s="774" t="s">
        <v>306</v>
      </c>
      <c r="E324" s="649" t="s">
        <v>4</v>
      </c>
      <c r="F324" s="870" t="s">
        <v>1074</v>
      </c>
      <c r="G324" s="735"/>
      <c r="H324" s="484"/>
      <c r="I324" s="441"/>
      <c r="J324" s="484">
        <f>J321+J322+J323</f>
        <v>34443.587880000006</v>
      </c>
      <c r="K324" s="874"/>
      <c r="L324" s="874"/>
      <c r="M324" s="874"/>
      <c r="N324" s="874"/>
      <c r="O324" s="874"/>
      <c r="P324" s="874"/>
      <c r="Q324" s="874"/>
      <c r="R324" s="874"/>
      <c r="S324" s="874"/>
      <c r="T324" s="874"/>
      <c r="U324" s="874"/>
      <c r="V324" s="874"/>
      <c r="W324" s="874"/>
      <c r="X324" s="874"/>
      <c r="Y324" s="874"/>
      <c r="Z324" s="874"/>
      <c r="AA324" s="874"/>
    </row>
    <row r="325" spans="1:27" ht="30" x14ac:dyDescent="0.25">
      <c r="A325" s="813"/>
      <c r="B325" s="870"/>
      <c r="C325" s="66" t="s">
        <v>306</v>
      </c>
      <c r="D325" s="774" t="s">
        <v>306</v>
      </c>
      <c r="E325" s="649" t="s">
        <v>926</v>
      </c>
      <c r="F325" s="870" t="s">
        <v>877</v>
      </c>
      <c r="G325" s="319">
        <f>'Hệ số'!D15</f>
        <v>0.06</v>
      </c>
      <c r="H325" s="484"/>
      <c r="I325" s="441"/>
      <c r="J325" s="484">
        <f>(J320+J324)*G325</f>
        <v>24288.284872800003</v>
      </c>
      <c r="K325" s="874"/>
      <c r="L325" s="874"/>
      <c r="M325" s="874"/>
      <c r="N325" s="874"/>
      <c r="O325" s="874"/>
      <c r="P325" s="874"/>
      <c r="Q325" s="874"/>
      <c r="R325" s="874"/>
      <c r="S325" s="874"/>
      <c r="T325" s="874"/>
      <c r="U325" s="874"/>
      <c r="V325" s="874"/>
      <c r="W325" s="874"/>
      <c r="X325" s="874"/>
      <c r="Y325" s="874"/>
      <c r="Z325" s="874"/>
      <c r="AA325" s="874"/>
    </row>
    <row r="326" spans="1:27" x14ac:dyDescent="0.25">
      <c r="A326" s="813"/>
      <c r="B326" s="870"/>
      <c r="C326" s="66" t="s">
        <v>306</v>
      </c>
      <c r="D326" s="774" t="s">
        <v>306</v>
      </c>
      <c r="E326" s="421" t="s">
        <v>699</v>
      </c>
      <c r="F326" s="143" t="s">
        <v>516</v>
      </c>
      <c r="G326" s="735"/>
      <c r="H326" s="484"/>
      <c r="I326" s="441"/>
      <c r="J326" s="270">
        <f>J320+J324+J325</f>
        <v>429093.03275280003</v>
      </c>
      <c r="K326" s="874"/>
      <c r="L326" s="874"/>
      <c r="M326" s="874"/>
      <c r="N326" s="874"/>
      <c r="O326" s="874"/>
      <c r="P326" s="874"/>
      <c r="Q326" s="874"/>
      <c r="R326" s="874"/>
      <c r="S326" s="874"/>
      <c r="T326" s="874"/>
      <c r="U326" s="874"/>
      <c r="V326" s="874"/>
      <c r="W326" s="874"/>
      <c r="X326" s="874"/>
      <c r="Y326" s="874"/>
      <c r="Z326" s="874"/>
      <c r="AA326" s="874"/>
    </row>
    <row r="327" spans="1:27" x14ac:dyDescent="0.25">
      <c r="A327" s="813"/>
      <c r="B327" s="870"/>
      <c r="C327" s="66" t="s">
        <v>306</v>
      </c>
      <c r="D327" s="774" t="s">
        <v>306</v>
      </c>
      <c r="E327" s="649" t="s">
        <v>1117</v>
      </c>
      <c r="F327" s="870" t="s">
        <v>447</v>
      </c>
      <c r="G327" s="319">
        <f>'Hệ số'!D17</f>
        <v>0.08</v>
      </c>
      <c r="H327" s="484"/>
      <c r="I327" s="441"/>
      <c r="J327" s="484">
        <f>(J326)*G327</f>
        <v>34327.442620224007</v>
      </c>
      <c r="K327" s="874"/>
      <c r="L327" s="874"/>
      <c r="M327" s="874"/>
      <c r="N327" s="874"/>
      <c r="O327" s="874"/>
      <c r="P327" s="874"/>
      <c r="Q327" s="874"/>
      <c r="R327" s="874"/>
      <c r="S327" s="874"/>
      <c r="T327" s="874"/>
      <c r="U327" s="874"/>
      <c r="V327" s="874"/>
      <c r="W327" s="874"/>
      <c r="X327" s="874"/>
      <c r="Y327" s="874"/>
      <c r="Z327" s="874"/>
      <c r="AA327" s="874"/>
    </row>
    <row r="328" spans="1:27" x14ac:dyDescent="0.25">
      <c r="A328" s="468"/>
      <c r="B328" s="534"/>
      <c r="C328" s="638" t="s">
        <v>306</v>
      </c>
      <c r="D328" s="420" t="s">
        <v>306</v>
      </c>
      <c r="E328" s="438" t="s">
        <v>1316</v>
      </c>
      <c r="F328" s="698" t="s">
        <v>927</v>
      </c>
      <c r="G328" s="750"/>
      <c r="H328" s="128"/>
      <c r="I328" s="462"/>
      <c r="J328" s="880">
        <f>J326+J327</f>
        <v>463420.47537302406</v>
      </c>
      <c r="K328" s="874"/>
      <c r="L328" s="874"/>
      <c r="M328" s="874"/>
      <c r="N328" s="874"/>
      <c r="O328" s="874"/>
      <c r="P328" s="874"/>
      <c r="Q328" s="874"/>
      <c r="R328" s="874"/>
      <c r="S328" s="874"/>
      <c r="T328" s="874"/>
      <c r="U328" s="874"/>
      <c r="V328" s="874"/>
      <c r="W328" s="874"/>
      <c r="X328" s="874"/>
      <c r="Y328" s="874"/>
      <c r="Z328" s="874"/>
      <c r="AA328" s="874"/>
    </row>
    <row r="329" spans="1:27" x14ac:dyDescent="0.25">
      <c r="A329" s="895"/>
      <c r="B329" s="58">
        <v>21</v>
      </c>
      <c r="C329" s="137" t="str">
        <f>'Tiên lượng'!C44</f>
        <v>TT</v>
      </c>
      <c r="D329" s="137" t="str">
        <f>'Tiên lượng'!C44</f>
        <v>TT</v>
      </c>
      <c r="E329" s="693" t="str">
        <f>'Tiên lượng'!D44</f>
        <v>Ô tô vận chuyển đất đi đổ</v>
      </c>
      <c r="F329" s="58" t="str">
        <f>'Tiên lượng'!E44</f>
        <v>ca</v>
      </c>
      <c r="G329" s="254"/>
      <c r="H329" s="194"/>
      <c r="I329" s="527"/>
      <c r="J329" s="194"/>
      <c r="K329" s="874"/>
      <c r="L329" s="874"/>
      <c r="M329" s="874"/>
      <c r="N329" s="874"/>
      <c r="O329" s="874"/>
      <c r="P329" s="874"/>
      <c r="Q329" s="874"/>
      <c r="R329" s="874"/>
      <c r="S329" s="874"/>
      <c r="T329" s="874"/>
      <c r="U329" s="874"/>
      <c r="V329" s="874"/>
      <c r="W329" s="874"/>
      <c r="X329" s="874"/>
      <c r="Y329" s="874"/>
      <c r="Z329" s="874"/>
      <c r="AA329" s="874"/>
    </row>
    <row r="330" spans="1:27" x14ac:dyDescent="0.25">
      <c r="A330" s="129"/>
      <c r="B330" s="198"/>
      <c r="C330" s="810" t="s">
        <v>306</v>
      </c>
      <c r="D330" s="810" t="s">
        <v>306</v>
      </c>
      <c r="E330" s="473" t="s">
        <v>176</v>
      </c>
      <c r="F330" s="198" t="s">
        <v>479</v>
      </c>
      <c r="G330" s="32"/>
      <c r="H330" s="333"/>
      <c r="I330" s="671"/>
      <c r="J330" s="333">
        <v>0</v>
      </c>
      <c r="K330" s="874"/>
      <c r="L330" s="874"/>
      <c r="M330" s="874"/>
      <c r="N330" s="874"/>
      <c r="O330" s="874"/>
      <c r="P330" s="874"/>
      <c r="Q330" s="874"/>
      <c r="R330" s="874"/>
      <c r="S330" s="874"/>
      <c r="T330" s="874"/>
      <c r="U330" s="874"/>
      <c r="V330" s="874"/>
      <c r="W330" s="874"/>
      <c r="X330" s="874"/>
      <c r="Y330" s="874"/>
      <c r="Z330" s="874"/>
      <c r="AA330" s="874"/>
    </row>
    <row r="331" spans="1:27" x14ac:dyDescent="0.25">
      <c r="A331" s="129"/>
      <c r="B331" s="198"/>
      <c r="C331" s="810" t="s">
        <v>306</v>
      </c>
      <c r="D331" s="810" t="s">
        <v>306</v>
      </c>
      <c r="E331" s="473" t="s">
        <v>740</v>
      </c>
      <c r="F331" s="198" t="s">
        <v>836</v>
      </c>
      <c r="G331" s="32"/>
      <c r="H331" s="333"/>
      <c r="I331" s="671"/>
      <c r="J331" s="333">
        <v>0</v>
      </c>
      <c r="K331" s="874"/>
      <c r="L331" s="874"/>
      <c r="M331" s="874"/>
      <c r="N331" s="874"/>
      <c r="O331" s="874"/>
      <c r="P331" s="874"/>
      <c r="Q331" s="874"/>
      <c r="R331" s="874"/>
      <c r="S331" s="874"/>
      <c r="T331" s="874"/>
      <c r="U331" s="874"/>
      <c r="V331" s="874"/>
      <c r="W331" s="874"/>
      <c r="X331" s="874"/>
      <c r="Y331" s="874"/>
      <c r="Z331" s="874"/>
      <c r="AA331" s="874"/>
    </row>
    <row r="332" spans="1:27" x14ac:dyDescent="0.25">
      <c r="A332" s="129"/>
      <c r="B332" s="198"/>
      <c r="C332" s="810" t="s">
        <v>306</v>
      </c>
      <c r="D332" s="810" t="s">
        <v>306</v>
      </c>
      <c r="E332" s="473" t="s">
        <v>890</v>
      </c>
      <c r="F332" s="198" t="s">
        <v>125</v>
      </c>
      <c r="G332" s="32"/>
      <c r="H332" s="333"/>
      <c r="I332" s="671"/>
      <c r="J332" s="333">
        <v>0</v>
      </c>
      <c r="K332" s="874"/>
      <c r="L332" s="874"/>
      <c r="M332" s="874"/>
      <c r="N332" s="874"/>
      <c r="O332" s="874"/>
      <c r="P332" s="874"/>
      <c r="Q332" s="874"/>
      <c r="R332" s="874"/>
      <c r="S332" s="874"/>
      <c r="T332" s="874"/>
      <c r="U332" s="874"/>
      <c r="V332" s="874"/>
      <c r="W332" s="874"/>
      <c r="X332" s="874"/>
      <c r="Y332" s="874"/>
      <c r="Z332" s="874"/>
      <c r="AA332" s="874"/>
    </row>
    <row r="333" spans="1:27" x14ac:dyDescent="0.25">
      <c r="A333" s="129"/>
      <c r="B333" s="198"/>
      <c r="C333" s="810" t="s">
        <v>306</v>
      </c>
      <c r="D333" s="810" t="s">
        <v>306</v>
      </c>
      <c r="E333" s="473" t="s">
        <v>556</v>
      </c>
      <c r="F333" s="198" t="s">
        <v>539</v>
      </c>
      <c r="G333" s="32"/>
      <c r="H333" s="333"/>
      <c r="I333" s="671"/>
      <c r="J333" s="333">
        <f>SUM(J334:J334)</f>
        <v>2000000</v>
      </c>
      <c r="K333" s="874"/>
      <c r="L333" s="874"/>
      <c r="M333" s="874"/>
      <c r="N333" s="874"/>
      <c r="O333" s="874"/>
      <c r="P333" s="874"/>
      <c r="Q333" s="874"/>
      <c r="R333" s="874"/>
      <c r="S333" s="874"/>
      <c r="T333" s="874"/>
      <c r="U333" s="874"/>
      <c r="V333" s="874"/>
      <c r="W333" s="874"/>
      <c r="X333" s="874"/>
      <c r="Y333" s="874"/>
      <c r="Z333" s="874"/>
      <c r="AA333" s="874"/>
    </row>
    <row r="334" spans="1:27" x14ac:dyDescent="0.25">
      <c r="A334" s="813"/>
      <c r="B334" s="870"/>
      <c r="C334" s="66" t="s">
        <v>306</v>
      </c>
      <c r="D334" s="774" t="s">
        <v>306</v>
      </c>
      <c r="E334" s="649" t="s">
        <v>1228</v>
      </c>
      <c r="F334" s="870" t="s">
        <v>1272</v>
      </c>
      <c r="G334" s="725">
        <f>PTVT!G147</f>
        <v>1</v>
      </c>
      <c r="H334" s="484">
        <f>'Tiên lượng'!Q44</f>
        <v>2000000</v>
      </c>
      <c r="I334" s="441"/>
      <c r="J334" s="484">
        <f>PRODUCT(G334,H334,I334)</f>
        <v>2000000</v>
      </c>
      <c r="K334" s="874"/>
      <c r="L334" s="874"/>
      <c r="M334" s="874"/>
      <c r="N334" s="874"/>
      <c r="O334" s="874"/>
      <c r="P334" s="874"/>
      <c r="Q334" s="874"/>
      <c r="R334" s="874"/>
      <c r="S334" s="874"/>
      <c r="T334" s="874"/>
      <c r="U334" s="874"/>
      <c r="V334" s="874"/>
      <c r="W334" s="874"/>
      <c r="X334" s="874"/>
      <c r="Y334" s="874"/>
      <c r="Z334" s="874"/>
      <c r="AA334" s="874"/>
    </row>
    <row r="335" spans="1:27" x14ac:dyDescent="0.25">
      <c r="A335" s="813"/>
      <c r="B335" s="870"/>
      <c r="C335" s="66" t="s">
        <v>306</v>
      </c>
      <c r="D335" s="774" t="s">
        <v>306</v>
      </c>
      <c r="E335" s="649" t="s">
        <v>1211</v>
      </c>
      <c r="F335" s="870" t="s">
        <v>969</v>
      </c>
      <c r="G335" s="735"/>
      <c r="H335" s="484"/>
      <c r="I335" s="441"/>
      <c r="J335" s="484">
        <f>J330+J331+J332+J333</f>
        <v>2000000</v>
      </c>
      <c r="K335" s="874"/>
      <c r="L335" s="874"/>
      <c r="M335" s="874"/>
      <c r="N335" s="874"/>
      <c r="O335" s="874"/>
      <c r="P335" s="874"/>
      <c r="Q335" s="874"/>
      <c r="R335" s="874"/>
      <c r="S335" s="874"/>
      <c r="T335" s="874"/>
      <c r="U335" s="874"/>
      <c r="V335" s="874"/>
      <c r="W335" s="874"/>
      <c r="X335" s="874"/>
      <c r="Y335" s="874"/>
      <c r="Z335" s="874"/>
      <c r="AA335" s="874"/>
    </row>
    <row r="336" spans="1:27" x14ac:dyDescent="0.25">
      <c r="A336" s="813"/>
      <c r="B336" s="870"/>
      <c r="C336" s="66" t="s">
        <v>306</v>
      </c>
      <c r="D336" s="774" t="s">
        <v>306</v>
      </c>
      <c r="E336" s="649" t="s">
        <v>581</v>
      </c>
      <c r="F336" s="870" t="s">
        <v>892</v>
      </c>
      <c r="G336" s="694">
        <f>'Hệ số'!D5</f>
        <v>6.2E-2</v>
      </c>
      <c r="H336" s="484"/>
      <c r="I336" s="441"/>
      <c r="J336" s="484">
        <f>(J335)*G336</f>
        <v>124000</v>
      </c>
      <c r="K336" s="874"/>
      <c r="L336" s="874"/>
      <c r="M336" s="874"/>
      <c r="N336" s="874"/>
      <c r="O336" s="874"/>
      <c r="P336" s="874"/>
      <c r="Q336" s="874"/>
      <c r="R336" s="874"/>
      <c r="S336" s="874"/>
      <c r="T336" s="874"/>
      <c r="U336" s="874"/>
      <c r="V336" s="874"/>
      <c r="W336" s="874"/>
      <c r="X336" s="874"/>
      <c r="Y336" s="874"/>
      <c r="Z336" s="874"/>
      <c r="AA336" s="874"/>
    </row>
    <row r="337" spans="1:27" x14ac:dyDescent="0.25">
      <c r="A337" s="813"/>
      <c r="B337" s="870"/>
      <c r="C337" s="66" t="s">
        <v>306</v>
      </c>
      <c r="D337" s="774" t="s">
        <v>306</v>
      </c>
      <c r="E337" s="649" t="s">
        <v>634</v>
      </c>
      <c r="F337" s="870" t="s">
        <v>997</v>
      </c>
      <c r="G337" s="694">
        <f>'Hệ số'!D11</f>
        <v>1.1000000000000001E-2</v>
      </c>
      <c r="H337" s="484"/>
      <c r="I337" s="441"/>
      <c r="J337" s="484">
        <f>(J335)*G337</f>
        <v>22000.000000000004</v>
      </c>
      <c r="K337" s="874"/>
      <c r="L337" s="874"/>
      <c r="M337" s="874"/>
      <c r="N337" s="874"/>
      <c r="O337" s="874"/>
      <c r="P337" s="874"/>
      <c r="Q337" s="874"/>
      <c r="R337" s="874"/>
      <c r="S337" s="874"/>
      <c r="T337" s="874"/>
      <c r="U337" s="874"/>
      <c r="V337" s="874"/>
      <c r="W337" s="874"/>
      <c r="X337" s="874"/>
      <c r="Y337" s="874"/>
      <c r="Z337" s="874"/>
      <c r="AA337" s="874"/>
    </row>
    <row r="338" spans="1:27" ht="30" x14ac:dyDescent="0.25">
      <c r="A338" s="813"/>
      <c r="B338" s="870"/>
      <c r="C338" s="66" t="s">
        <v>306</v>
      </c>
      <c r="D338" s="774" t="s">
        <v>306</v>
      </c>
      <c r="E338" s="649" t="s">
        <v>51</v>
      </c>
      <c r="F338" s="870" t="s">
        <v>172</v>
      </c>
      <c r="G338" s="319">
        <f>'Hệ số'!D8</f>
        <v>0.02</v>
      </c>
      <c r="H338" s="484"/>
      <c r="I338" s="441"/>
      <c r="J338" s="484">
        <f>(J335)*G338</f>
        <v>40000</v>
      </c>
      <c r="K338" s="874"/>
      <c r="L338" s="874"/>
      <c r="M338" s="874"/>
      <c r="N338" s="874"/>
      <c r="O338" s="874"/>
      <c r="P338" s="874"/>
      <c r="Q338" s="874"/>
      <c r="R338" s="874"/>
      <c r="S338" s="874"/>
      <c r="T338" s="874"/>
      <c r="U338" s="874"/>
      <c r="V338" s="874"/>
      <c r="W338" s="874"/>
      <c r="X338" s="874"/>
      <c r="Y338" s="874"/>
      <c r="Z338" s="874"/>
      <c r="AA338" s="874"/>
    </row>
    <row r="339" spans="1:27" x14ac:dyDescent="0.25">
      <c r="A339" s="813"/>
      <c r="B339" s="870"/>
      <c r="C339" s="66" t="s">
        <v>306</v>
      </c>
      <c r="D339" s="774" t="s">
        <v>306</v>
      </c>
      <c r="E339" s="649" t="s">
        <v>4</v>
      </c>
      <c r="F339" s="870" t="s">
        <v>1074</v>
      </c>
      <c r="G339" s="735"/>
      <c r="H339" s="484"/>
      <c r="I339" s="441"/>
      <c r="J339" s="484">
        <f>J336+J337+J338</f>
        <v>186000</v>
      </c>
      <c r="K339" s="874"/>
      <c r="L339" s="874"/>
      <c r="M339" s="874"/>
      <c r="N339" s="874"/>
      <c r="O339" s="874"/>
      <c r="P339" s="874"/>
      <c r="Q339" s="874"/>
      <c r="R339" s="874"/>
      <c r="S339" s="874"/>
      <c r="T339" s="874"/>
      <c r="U339" s="874"/>
      <c r="V339" s="874"/>
      <c r="W339" s="874"/>
      <c r="X339" s="874"/>
      <c r="Y339" s="874"/>
      <c r="Z339" s="874"/>
      <c r="AA339" s="874"/>
    </row>
    <row r="340" spans="1:27" ht="30" x14ac:dyDescent="0.25">
      <c r="A340" s="813"/>
      <c r="B340" s="870"/>
      <c r="C340" s="66" t="s">
        <v>306</v>
      </c>
      <c r="D340" s="774" t="s">
        <v>306</v>
      </c>
      <c r="E340" s="649" t="s">
        <v>926</v>
      </c>
      <c r="F340" s="870" t="s">
        <v>877</v>
      </c>
      <c r="G340" s="319">
        <f>'Hệ số'!D15</f>
        <v>0.06</v>
      </c>
      <c r="H340" s="484"/>
      <c r="I340" s="441"/>
      <c r="J340" s="484">
        <f>(J335+J339)*G340</f>
        <v>131160</v>
      </c>
      <c r="K340" s="874"/>
      <c r="L340" s="874"/>
      <c r="M340" s="874"/>
      <c r="N340" s="874"/>
      <c r="O340" s="874"/>
      <c r="P340" s="874"/>
      <c r="Q340" s="874"/>
      <c r="R340" s="874"/>
      <c r="S340" s="874"/>
      <c r="T340" s="874"/>
      <c r="U340" s="874"/>
      <c r="V340" s="874"/>
      <c r="W340" s="874"/>
      <c r="X340" s="874"/>
      <c r="Y340" s="874"/>
      <c r="Z340" s="874"/>
      <c r="AA340" s="874"/>
    </row>
    <row r="341" spans="1:27" x14ac:dyDescent="0.25">
      <c r="A341" s="813"/>
      <c r="B341" s="870"/>
      <c r="C341" s="66" t="s">
        <v>306</v>
      </c>
      <c r="D341" s="774" t="s">
        <v>306</v>
      </c>
      <c r="E341" s="421" t="s">
        <v>699</v>
      </c>
      <c r="F341" s="143" t="s">
        <v>516</v>
      </c>
      <c r="G341" s="735"/>
      <c r="H341" s="484"/>
      <c r="I341" s="441"/>
      <c r="J341" s="270">
        <f>J335+J339+J340</f>
        <v>2317160</v>
      </c>
      <c r="K341" s="874"/>
      <c r="L341" s="874"/>
      <c r="M341" s="874"/>
      <c r="N341" s="874"/>
      <c r="O341" s="874"/>
      <c r="P341" s="874"/>
      <c r="Q341" s="874"/>
      <c r="R341" s="874"/>
      <c r="S341" s="874"/>
      <c r="T341" s="874"/>
      <c r="U341" s="874"/>
      <c r="V341" s="874"/>
      <c r="W341" s="874"/>
      <c r="X341" s="874"/>
      <c r="Y341" s="874"/>
      <c r="Z341" s="874"/>
      <c r="AA341" s="874"/>
    </row>
    <row r="342" spans="1:27" x14ac:dyDescent="0.25">
      <c r="A342" s="813"/>
      <c r="B342" s="870"/>
      <c r="C342" s="66" t="s">
        <v>306</v>
      </c>
      <c r="D342" s="774" t="s">
        <v>306</v>
      </c>
      <c r="E342" s="649" t="s">
        <v>1117</v>
      </c>
      <c r="F342" s="870" t="s">
        <v>447</v>
      </c>
      <c r="G342" s="319">
        <f>'Hệ số'!D17</f>
        <v>0.08</v>
      </c>
      <c r="H342" s="484"/>
      <c r="I342" s="441"/>
      <c r="J342" s="484">
        <f>(J341)*G342</f>
        <v>185372.80000000002</v>
      </c>
      <c r="K342" s="874"/>
      <c r="L342" s="874"/>
      <c r="M342" s="874"/>
      <c r="N342" s="874"/>
      <c r="O342" s="874"/>
      <c r="P342" s="874"/>
      <c r="Q342" s="874"/>
      <c r="R342" s="874"/>
      <c r="S342" s="874"/>
      <c r="T342" s="874"/>
      <c r="U342" s="874"/>
      <c r="V342" s="874"/>
      <c r="W342" s="874"/>
      <c r="X342" s="874"/>
      <c r="Y342" s="874"/>
      <c r="Z342" s="874"/>
      <c r="AA342" s="874"/>
    </row>
    <row r="343" spans="1:27" x14ac:dyDescent="0.25">
      <c r="A343" s="468"/>
      <c r="B343" s="534"/>
      <c r="C343" s="638" t="s">
        <v>306</v>
      </c>
      <c r="D343" s="420" t="s">
        <v>306</v>
      </c>
      <c r="E343" s="438" t="s">
        <v>1316</v>
      </c>
      <c r="F343" s="698" t="s">
        <v>927</v>
      </c>
      <c r="G343" s="750"/>
      <c r="H343" s="128"/>
      <c r="I343" s="462"/>
      <c r="J343" s="880">
        <f>J341+J342</f>
        <v>2502532.7999999998</v>
      </c>
      <c r="K343" s="874"/>
      <c r="L343" s="874"/>
      <c r="M343" s="874"/>
      <c r="N343" s="874"/>
      <c r="O343" s="874"/>
      <c r="P343" s="874"/>
      <c r="Q343" s="874"/>
      <c r="R343" s="874"/>
      <c r="S343" s="874"/>
      <c r="T343" s="874"/>
      <c r="U343" s="874"/>
      <c r="V343" s="874"/>
      <c r="W343" s="874"/>
      <c r="X343" s="874"/>
      <c r="Y343" s="874"/>
      <c r="Z343" s="874"/>
      <c r="AA343" s="874"/>
    </row>
    <row r="344" spans="1:27" ht="30" x14ac:dyDescent="0.25">
      <c r="A344" s="895"/>
      <c r="B344" s="58">
        <v>22</v>
      </c>
      <c r="C344" s="137" t="str">
        <f>'Tiên lượng'!C45</f>
        <v>SF.11311.VD</v>
      </c>
      <c r="D344" s="137" t="str">
        <f>'Tiên lượng'!C45</f>
        <v>SF.11311.VD</v>
      </c>
      <c r="E344" s="693" t="str">
        <f>'Tiên lượng'!D45</f>
        <v>Đắp phụ nền, lề đường bằng Đá dăm cấp phối loại II (Subbase)</v>
      </c>
      <c r="F344" s="58" t="str">
        <f>'Tiên lượng'!E45</f>
        <v>m3</v>
      </c>
      <c r="G344" s="254"/>
      <c r="H344" s="194"/>
      <c r="I344" s="527"/>
      <c r="J344" s="194"/>
      <c r="K344" s="874"/>
      <c r="L344" s="874"/>
      <c r="M344" s="874"/>
      <c r="N344" s="874"/>
      <c r="O344" s="874"/>
      <c r="P344" s="874"/>
      <c r="Q344" s="874"/>
      <c r="R344" s="874"/>
      <c r="S344" s="874"/>
      <c r="T344" s="874"/>
      <c r="U344" s="874"/>
      <c r="V344" s="874"/>
      <c r="W344" s="874"/>
      <c r="X344" s="874"/>
      <c r="Y344" s="874"/>
      <c r="Z344" s="874"/>
      <c r="AA344" s="874"/>
    </row>
    <row r="345" spans="1:27" x14ac:dyDescent="0.25">
      <c r="A345" s="129"/>
      <c r="B345" s="198"/>
      <c r="C345" s="810" t="s">
        <v>306</v>
      </c>
      <c r="D345" s="810" t="s">
        <v>306</v>
      </c>
      <c r="E345" s="473" t="s">
        <v>1372</v>
      </c>
      <c r="F345" s="198" t="s">
        <v>479</v>
      </c>
      <c r="G345" s="32"/>
      <c r="H345" s="333"/>
      <c r="I345" s="671"/>
      <c r="J345" s="333">
        <f>SUM(J346:J346)</f>
        <v>564978.53624789999</v>
      </c>
      <c r="K345" s="874"/>
      <c r="L345" s="874"/>
      <c r="M345" s="874"/>
      <c r="N345" s="874"/>
      <c r="O345" s="874"/>
      <c r="P345" s="874"/>
      <c r="Q345" s="874"/>
      <c r="R345" s="874"/>
      <c r="S345" s="874"/>
      <c r="T345" s="874"/>
      <c r="U345" s="874"/>
      <c r="V345" s="874"/>
      <c r="W345" s="874"/>
      <c r="X345" s="874"/>
      <c r="Y345" s="874"/>
      <c r="Z345" s="874"/>
      <c r="AA345" s="874"/>
    </row>
    <row r="346" spans="1:27" x14ac:dyDescent="0.25">
      <c r="A346" s="813"/>
      <c r="B346" s="870"/>
      <c r="C346" s="66" t="s">
        <v>306</v>
      </c>
      <c r="D346" s="774" t="s">
        <v>142</v>
      </c>
      <c r="E346" s="649" t="str">
        <f>" - " &amp; 'Giá VL'!E8</f>
        <v xml:space="preserve"> - Đá Base B</v>
      </c>
      <c r="F346" s="870" t="str">
        <f>'Giá VL'!F8</f>
        <v>m3</v>
      </c>
      <c r="G346" s="725">
        <f>PTVT!G150</f>
        <v>1.425</v>
      </c>
      <c r="H346" s="484">
        <f>'Giá VL'!V8</f>
        <v>396476.16578799998</v>
      </c>
      <c r="I346" s="441">
        <f>'Tiên lượng'!V45</f>
        <v>1</v>
      </c>
      <c r="J346" s="484">
        <f>PRODUCT(G346,H346,I346)</f>
        <v>564978.53624789999</v>
      </c>
      <c r="K346" s="874"/>
      <c r="L346" s="874"/>
      <c r="M346" s="874"/>
      <c r="N346" s="874"/>
      <c r="O346" s="874"/>
      <c r="P346" s="874"/>
      <c r="Q346" s="874"/>
      <c r="R346" s="874"/>
      <c r="S346" s="874"/>
      <c r="T346" s="874"/>
      <c r="U346" s="874"/>
      <c r="V346" s="874"/>
      <c r="W346" s="874"/>
      <c r="X346" s="874"/>
      <c r="Y346" s="874"/>
      <c r="Z346" s="874"/>
      <c r="AA346" s="874"/>
    </row>
    <row r="347" spans="1:27" x14ac:dyDescent="0.25">
      <c r="A347" s="129"/>
      <c r="B347" s="198"/>
      <c r="C347" s="810" t="s">
        <v>306</v>
      </c>
      <c r="D347" s="810" t="s">
        <v>306</v>
      </c>
      <c r="E347" s="473" t="s">
        <v>890</v>
      </c>
      <c r="F347" s="198" t="s">
        <v>125</v>
      </c>
      <c r="G347" s="32"/>
      <c r="H347" s="333"/>
      <c r="I347" s="671"/>
      <c r="J347" s="333">
        <f>SUM(J348:J348)</f>
        <v>67500</v>
      </c>
      <c r="K347" s="874"/>
      <c r="L347" s="874"/>
      <c r="M347" s="874"/>
      <c r="N347" s="874"/>
      <c r="O347" s="874"/>
      <c r="P347" s="874"/>
      <c r="Q347" s="874"/>
      <c r="R347" s="874"/>
      <c r="S347" s="874"/>
      <c r="T347" s="874"/>
      <c r="U347" s="874"/>
      <c r="V347" s="874"/>
      <c r="W347" s="874"/>
      <c r="X347" s="874"/>
      <c r="Y347" s="874"/>
      <c r="Z347" s="874"/>
      <c r="AA347" s="874"/>
    </row>
    <row r="348" spans="1:27" x14ac:dyDescent="0.25">
      <c r="A348" s="813"/>
      <c r="B348" s="870"/>
      <c r="C348" s="66" t="s">
        <v>306</v>
      </c>
      <c r="D348" s="774" t="s">
        <v>1055</v>
      </c>
      <c r="E348" s="649" t="str">
        <f>" - " &amp; 'Giá NC'!E7</f>
        <v xml:space="preserve"> - Nhân công bậc 3,5/7 - Nhóm 2</v>
      </c>
      <c r="F348" s="870" t="str">
        <f>'Giá NC'!F7</f>
        <v>công</v>
      </c>
      <c r="G348" s="725">
        <f>PTVT!G152</f>
        <v>0.25</v>
      </c>
      <c r="H348" s="484">
        <f>'Giá NC'!K7</f>
        <v>270000</v>
      </c>
      <c r="I348" s="441">
        <f>'Tiên lượng'!W45</f>
        <v>1</v>
      </c>
      <c r="J348" s="484">
        <f>PRODUCT(G348,H348,I348)</f>
        <v>67500</v>
      </c>
      <c r="K348" s="874"/>
      <c r="L348" s="874"/>
      <c r="M348" s="874"/>
      <c r="N348" s="874"/>
      <c r="O348" s="874"/>
      <c r="P348" s="874"/>
      <c r="Q348" s="874"/>
      <c r="R348" s="874"/>
      <c r="S348" s="874"/>
      <c r="T348" s="874"/>
      <c r="U348" s="874"/>
      <c r="V348" s="874"/>
      <c r="W348" s="874"/>
      <c r="X348" s="874"/>
      <c r="Y348" s="874"/>
      <c r="Z348" s="874"/>
      <c r="AA348" s="874"/>
    </row>
    <row r="349" spans="1:27" x14ac:dyDescent="0.25">
      <c r="A349" s="129"/>
      <c r="B349" s="198"/>
      <c r="C349" s="810" t="s">
        <v>306</v>
      </c>
      <c r="D349" s="810" t="s">
        <v>306</v>
      </c>
      <c r="E349" s="473" t="s">
        <v>556</v>
      </c>
      <c r="F349" s="198" t="s">
        <v>539</v>
      </c>
      <c r="G349" s="32"/>
      <c r="H349" s="333"/>
      <c r="I349" s="671"/>
      <c r="J349" s="333">
        <f>SUM(J350:J350)</f>
        <v>42500</v>
      </c>
      <c r="K349" s="874"/>
      <c r="L349" s="874"/>
      <c r="M349" s="874"/>
      <c r="N349" s="874"/>
      <c r="O349" s="874"/>
      <c r="P349" s="874"/>
      <c r="Q349" s="874"/>
      <c r="R349" s="874"/>
      <c r="S349" s="874"/>
      <c r="T349" s="874"/>
      <c r="U349" s="874"/>
      <c r="V349" s="874"/>
      <c r="W349" s="874"/>
      <c r="X349" s="874"/>
      <c r="Y349" s="874"/>
      <c r="Z349" s="874"/>
      <c r="AA349" s="874"/>
    </row>
    <row r="350" spans="1:27" x14ac:dyDescent="0.25">
      <c r="A350" s="813"/>
      <c r="B350" s="870"/>
      <c r="C350" s="66" t="s">
        <v>306</v>
      </c>
      <c r="D350" s="774" t="s">
        <v>928</v>
      </c>
      <c r="E350" s="649" t="str">
        <f>" - " &amp; 'Giá Máy'!E9</f>
        <v xml:space="preserve"> - Máy đầm cóc</v>
      </c>
      <c r="F350" s="870" t="str">
        <f>'Giá Máy'!F9</f>
        <v>ca</v>
      </c>
      <c r="G350" s="725">
        <f>PTVT!G154</f>
        <v>0.05</v>
      </c>
      <c r="H350" s="484">
        <f>'Giá Máy'!O9</f>
        <v>850000</v>
      </c>
      <c r="I350" s="441">
        <f>'Tiên lượng'!X45</f>
        <v>1</v>
      </c>
      <c r="J350" s="484">
        <f>PRODUCT(G350,H350,I350)</f>
        <v>42500</v>
      </c>
      <c r="K350" s="874"/>
      <c r="L350" s="874"/>
      <c r="M350" s="874"/>
      <c r="N350" s="874"/>
      <c r="O350" s="874"/>
      <c r="P350" s="874"/>
      <c r="Q350" s="874"/>
      <c r="R350" s="874"/>
      <c r="S350" s="874"/>
      <c r="T350" s="874"/>
      <c r="U350" s="874"/>
      <c r="V350" s="874"/>
      <c r="W350" s="874"/>
      <c r="X350" s="874"/>
      <c r="Y350" s="874"/>
      <c r="Z350" s="874"/>
      <c r="AA350" s="874"/>
    </row>
    <row r="351" spans="1:27" x14ac:dyDescent="0.25">
      <c r="A351" s="813"/>
      <c r="B351" s="870"/>
      <c r="C351" s="66" t="s">
        <v>306</v>
      </c>
      <c r="D351" s="774" t="s">
        <v>306</v>
      </c>
      <c r="E351" s="649" t="s">
        <v>1211</v>
      </c>
      <c r="F351" s="870" t="s">
        <v>969</v>
      </c>
      <c r="G351" s="735"/>
      <c r="H351" s="484"/>
      <c r="I351" s="441"/>
      <c r="J351" s="484">
        <f>J345+J347+J349</f>
        <v>674978.53624789999</v>
      </c>
      <c r="K351" s="874"/>
      <c r="L351" s="874"/>
      <c r="M351" s="874"/>
      <c r="N351" s="874"/>
      <c r="O351" s="874"/>
      <c r="P351" s="874"/>
      <c r="Q351" s="874"/>
      <c r="R351" s="874"/>
      <c r="S351" s="874"/>
      <c r="T351" s="874"/>
      <c r="U351" s="874"/>
      <c r="V351" s="874"/>
      <c r="W351" s="874"/>
      <c r="X351" s="874"/>
      <c r="Y351" s="874"/>
      <c r="Z351" s="874"/>
      <c r="AA351" s="874"/>
    </row>
    <row r="352" spans="1:27" x14ac:dyDescent="0.25">
      <c r="A352" s="813"/>
      <c r="B352" s="870"/>
      <c r="C352" s="66" t="s">
        <v>306</v>
      </c>
      <c r="D352" s="774" t="s">
        <v>306</v>
      </c>
      <c r="E352" s="649" t="s">
        <v>581</v>
      </c>
      <c r="F352" s="870" t="s">
        <v>892</v>
      </c>
      <c r="G352" s="694">
        <f>'Hệ số'!D5</f>
        <v>6.2E-2</v>
      </c>
      <c r="H352" s="484"/>
      <c r="I352" s="441"/>
      <c r="J352" s="484">
        <f>(J351)*G352</f>
        <v>41848.669247369799</v>
      </c>
      <c r="K352" s="874"/>
      <c r="L352" s="874"/>
      <c r="M352" s="874"/>
      <c r="N352" s="874"/>
      <c r="O352" s="874"/>
      <c r="P352" s="874"/>
      <c r="Q352" s="874"/>
      <c r="R352" s="874"/>
      <c r="S352" s="874"/>
      <c r="T352" s="874"/>
      <c r="U352" s="874"/>
      <c r="V352" s="874"/>
      <c r="W352" s="874"/>
      <c r="X352" s="874"/>
      <c r="Y352" s="874"/>
      <c r="Z352" s="874"/>
      <c r="AA352" s="874"/>
    </row>
    <row r="353" spans="1:27" x14ac:dyDescent="0.25">
      <c r="A353" s="813"/>
      <c r="B353" s="870"/>
      <c r="C353" s="66" t="s">
        <v>306</v>
      </c>
      <c r="D353" s="774" t="s">
        <v>306</v>
      </c>
      <c r="E353" s="649" t="s">
        <v>634</v>
      </c>
      <c r="F353" s="870" t="s">
        <v>997</v>
      </c>
      <c r="G353" s="694">
        <f>'Hệ số'!D11</f>
        <v>1.1000000000000001E-2</v>
      </c>
      <c r="H353" s="484"/>
      <c r="I353" s="441"/>
      <c r="J353" s="484">
        <f>(J351)*G353</f>
        <v>7424.7638987269011</v>
      </c>
      <c r="K353" s="874"/>
      <c r="L353" s="874"/>
      <c r="M353" s="874"/>
      <c r="N353" s="874"/>
      <c r="O353" s="874"/>
      <c r="P353" s="874"/>
      <c r="Q353" s="874"/>
      <c r="R353" s="874"/>
      <c r="S353" s="874"/>
      <c r="T353" s="874"/>
      <c r="U353" s="874"/>
      <c r="V353" s="874"/>
      <c r="W353" s="874"/>
      <c r="X353" s="874"/>
      <c r="Y353" s="874"/>
      <c r="Z353" s="874"/>
      <c r="AA353" s="874"/>
    </row>
    <row r="354" spans="1:27" ht="30" x14ac:dyDescent="0.25">
      <c r="A354" s="813"/>
      <c r="B354" s="870"/>
      <c r="C354" s="66" t="s">
        <v>306</v>
      </c>
      <c r="D354" s="774" t="s">
        <v>306</v>
      </c>
      <c r="E354" s="649" t="s">
        <v>51</v>
      </c>
      <c r="F354" s="870" t="s">
        <v>172</v>
      </c>
      <c r="G354" s="319">
        <f>'Hệ số'!D8</f>
        <v>0.02</v>
      </c>
      <c r="H354" s="484"/>
      <c r="I354" s="441"/>
      <c r="J354" s="484">
        <f>(J351)*G354</f>
        <v>13499.570724958001</v>
      </c>
      <c r="K354" s="874"/>
      <c r="L354" s="874"/>
      <c r="M354" s="874"/>
      <c r="N354" s="874"/>
      <c r="O354" s="874"/>
      <c r="P354" s="874"/>
      <c r="Q354" s="874"/>
      <c r="R354" s="874"/>
      <c r="S354" s="874"/>
      <c r="T354" s="874"/>
      <c r="U354" s="874"/>
      <c r="V354" s="874"/>
      <c r="W354" s="874"/>
      <c r="X354" s="874"/>
      <c r="Y354" s="874"/>
      <c r="Z354" s="874"/>
      <c r="AA354" s="874"/>
    </row>
    <row r="355" spans="1:27" x14ac:dyDescent="0.25">
      <c r="A355" s="813"/>
      <c r="B355" s="870"/>
      <c r="C355" s="66" t="s">
        <v>306</v>
      </c>
      <c r="D355" s="774" t="s">
        <v>306</v>
      </c>
      <c r="E355" s="649" t="s">
        <v>4</v>
      </c>
      <c r="F355" s="870" t="s">
        <v>1074</v>
      </c>
      <c r="G355" s="735"/>
      <c r="H355" s="484"/>
      <c r="I355" s="441"/>
      <c r="J355" s="484">
        <f>J352+J353+J354</f>
        <v>62773.003871054701</v>
      </c>
      <c r="K355" s="874"/>
      <c r="L355" s="874"/>
      <c r="M355" s="874"/>
      <c r="N355" s="874"/>
      <c r="O355" s="874"/>
      <c r="P355" s="874"/>
      <c r="Q355" s="874"/>
      <c r="R355" s="874"/>
      <c r="S355" s="874"/>
      <c r="T355" s="874"/>
      <c r="U355" s="874"/>
      <c r="V355" s="874"/>
      <c r="W355" s="874"/>
      <c r="X355" s="874"/>
      <c r="Y355" s="874"/>
      <c r="Z355" s="874"/>
      <c r="AA355" s="874"/>
    </row>
    <row r="356" spans="1:27" ht="30" x14ac:dyDescent="0.25">
      <c r="A356" s="813"/>
      <c r="B356" s="870"/>
      <c r="C356" s="66" t="s">
        <v>306</v>
      </c>
      <c r="D356" s="774" t="s">
        <v>306</v>
      </c>
      <c r="E356" s="649" t="s">
        <v>926</v>
      </c>
      <c r="F356" s="870" t="s">
        <v>877</v>
      </c>
      <c r="G356" s="319">
        <f>'Hệ số'!D15</f>
        <v>0.06</v>
      </c>
      <c r="H356" s="484"/>
      <c r="I356" s="441"/>
      <c r="J356" s="484">
        <f>(J351+J355)*G356</f>
        <v>44265.092407137279</v>
      </c>
      <c r="K356" s="874"/>
      <c r="L356" s="874"/>
      <c r="M356" s="874"/>
      <c r="N356" s="874"/>
      <c r="O356" s="874"/>
      <c r="P356" s="874"/>
      <c r="Q356" s="874"/>
      <c r="R356" s="874"/>
      <c r="S356" s="874"/>
      <c r="T356" s="874"/>
      <c r="U356" s="874"/>
      <c r="V356" s="874"/>
      <c r="W356" s="874"/>
      <c r="X356" s="874"/>
      <c r="Y356" s="874"/>
      <c r="Z356" s="874"/>
      <c r="AA356" s="874"/>
    </row>
    <row r="357" spans="1:27" x14ac:dyDescent="0.25">
      <c r="A357" s="813"/>
      <c r="B357" s="870"/>
      <c r="C357" s="66" t="s">
        <v>306</v>
      </c>
      <c r="D357" s="774" t="s">
        <v>306</v>
      </c>
      <c r="E357" s="421" t="s">
        <v>699</v>
      </c>
      <c r="F357" s="143" t="s">
        <v>516</v>
      </c>
      <c r="G357" s="735"/>
      <c r="H357" s="484"/>
      <c r="I357" s="441"/>
      <c r="J357" s="270">
        <f>J351+J355+J356</f>
        <v>782016.632526092</v>
      </c>
      <c r="K357" s="874"/>
      <c r="L357" s="874"/>
      <c r="M357" s="874"/>
      <c r="N357" s="874"/>
      <c r="O357" s="874"/>
      <c r="P357" s="874"/>
      <c r="Q357" s="874"/>
      <c r="R357" s="874"/>
      <c r="S357" s="874"/>
      <c r="T357" s="874"/>
      <c r="U357" s="874"/>
      <c r="V357" s="874"/>
      <c r="W357" s="874"/>
      <c r="X357" s="874"/>
      <c r="Y357" s="874"/>
      <c r="Z357" s="874"/>
      <c r="AA357" s="874"/>
    </row>
    <row r="358" spans="1:27" x14ac:dyDescent="0.25">
      <c r="A358" s="813"/>
      <c r="B358" s="870"/>
      <c r="C358" s="66" t="s">
        <v>306</v>
      </c>
      <c r="D358" s="774" t="s">
        <v>306</v>
      </c>
      <c r="E358" s="649" t="s">
        <v>1117</v>
      </c>
      <c r="F358" s="870" t="s">
        <v>447</v>
      </c>
      <c r="G358" s="319">
        <f>'Hệ số'!D17</f>
        <v>0.08</v>
      </c>
      <c r="H358" s="484"/>
      <c r="I358" s="441"/>
      <c r="J358" s="484">
        <f>(J357)*G358</f>
        <v>62561.330602087364</v>
      </c>
      <c r="K358" s="874"/>
      <c r="L358" s="874"/>
      <c r="M358" s="874"/>
      <c r="N358" s="874"/>
      <c r="O358" s="874"/>
      <c r="P358" s="874"/>
      <c r="Q358" s="874"/>
      <c r="R358" s="874"/>
      <c r="S358" s="874"/>
      <c r="T358" s="874"/>
      <c r="U358" s="874"/>
      <c r="V358" s="874"/>
      <c r="W358" s="874"/>
      <c r="X358" s="874"/>
      <c r="Y358" s="874"/>
      <c r="Z358" s="874"/>
      <c r="AA358" s="874"/>
    </row>
    <row r="359" spans="1:27" x14ac:dyDescent="0.25">
      <c r="A359" s="468"/>
      <c r="B359" s="534"/>
      <c r="C359" s="638" t="s">
        <v>306</v>
      </c>
      <c r="D359" s="420" t="s">
        <v>306</v>
      </c>
      <c r="E359" s="438" t="s">
        <v>1316</v>
      </c>
      <c r="F359" s="698" t="s">
        <v>927</v>
      </c>
      <c r="G359" s="750"/>
      <c r="H359" s="128"/>
      <c r="I359" s="462"/>
      <c r="J359" s="880">
        <f>J357+J358</f>
        <v>844577.96312817931</v>
      </c>
      <c r="K359" s="874"/>
      <c r="L359" s="874"/>
      <c r="M359" s="874"/>
      <c r="N359" s="874"/>
      <c r="O359" s="874"/>
      <c r="P359" s="874"/>
      <c r="Q359" s="874"/>
      <c r="R359" s="874"/>
      <c r="S359" s="874"/>
      <c r="T359" s="874"/>
      <c r="U359" s="874"/>
      <c r="V359" s="874"/>
      <c r="W359" s="874"/>
      <c r="X359" s="874"/>
      <c r="Y359" s="874"/>
      <c r="Z359" s="874"/>
      <c r="AA359" s="874"/>
    </row>
    <row r="360" spans="1:27" x14ac:dyDescent="0.25">
      <c r="B360" s="874"/>
      <c r="C360" s="677"/>
      <c r="D360" s="677"/>
      <c r="E360" s="874"/>
      <c r="F360" s="874"/>
      <c r="G360" s="874"/>
      <c r="H360" s="874"/>
      <c r="I360" s="874"/>
      <c r="J360" s="874"/>
      <c r="K360" s="874"/>
      <c r="L360" s="874"/>
      <c r="M360" s="874"/>
      <c r="N360" s="874"/>
      <c r="O360" s="874"/>
      <c r="P360" s="874"/>
      <c r="Q360" s="874"/>
      <c r="R360" s="874"/>
      <c r="S360" s="874"/>
      <c r="T360" s="874"/>
      <c r="U360" s="874"/>
      <c r="V360" s="874"/>
      <c r="W360" s="874"/>
      <c r="X360" s="874"/>
      <c r="Y360" s="874"/>
      <c r="Z360" s="874"/>
      <c r="AA360" s="874"/>
    </row>
    <row r="361" spans="1:27" x14ac:dyDescent="0.25">
      <c r="B361" s="874"/>
      <c r="C361" s="677"/>
      <c r="D361" s="677"/>
      <c r="E361" s="874"/>
      <c r="F361" s="874"/>
      <c r="G361" s="874"/>
      <c r="H361" s="874"/>
      <c r="I361" s="874"/>
      <c r="J361" s="874"/>
      <c r="K361" s="874"/>
      <c r="L361" s="874"/>
      <c r="M361" s="874"/>
      <c r="N361" s="874"/>
      <c r="O361" s="874"/>
      <c r="P361" s="874"/>
      <c r="Q361" s="874"/>
      <c r="R361" s="874"/>
      <c r="S361" s="874"/>
      <c r="T361" s="874"/>
      <c r="U361" s="874"/>
      <c r="V361" s="874"/>
      <c r="W361" s="874"/>
      <c r="X361" s="874"/>
      <c r="Y361" s="874"/>
      <c r="Z361" s="874"/>
      <c r="AA361" s="874"/>
    </row>
    <row r="362" spans="1:27" x14ac:dyDescent="0.25">
      <c r="B362" s="874"/>
      <c r="C362" s="677"/>
      <c r="D362" s="677"/>
      <c r="E362" s="874"/>
      <c r="F362" s="874"/>
      <c r="G362" s="874"/>
      <c r="H362" s="874"/>
      <c r="I362" s="874"/>
      <c r="J362" s="874"/>
      <c r="K362" s="874"/>
      <c r="L362" s="874"/>
      <c r="M362" s="874"/>
      <c r="N362" s="874"/>
      <c r="O362" s="874"/>
      <c r="P362" s="874"/>
      <c r="Q362" s="874"/>
      <c r="R362" s="874"/>
      <c r="S362" s="874"/>
      <c r="T362" s="874"/>
      <c r="U362" s="874"/>
      <c r="V362" s="874"/>
      <c r="W362" s="874"/>
      <c r="X362" s="874"/>
      <c r="Y362" s="874"/>
      <c r="Z362" s="874"/>
      <c r="AA362" s="874"/>
    </row>
  </sheetData>
  <mergeCells count="4">
    <mergeCell ref="A1:J1"/>
    <mergeCell ref="A2:J2"/>
    <mergeCell ref="A3:J3"/>
    <mergeCell ref="A4:J4"/>
  </mergeCells>
  <conditionalFormatting sqref="I1:I362">
    <cfRule type="cellIs" dxfId="3" priority="1" stopIfTrue="1" operator="equal">
      <formula>1</formula>
    </cfRule>
  </conditionalFormatting>
  <pageMargins left="0.60000000000000009" right="0.60000000000000009" top="0.79" bottom="0.79" header="0.3" footer="0.3"/>
  <pageSetup paperSize="9" scale="90" orientation="portrait" useFirstPageNumber="1" horizontalDpi="65532"/>
  <headerFooter>
    <oddFooter>&amp;CTrang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13"/>
  </sheetPr>
  <dimension ref="A1:AA34"/>
  <sheetViews>
    <sheetView showZeros="0" topLeftCell="B1" workbookViewId="0">
      <selection activeCell="E12" sqref="E12"/>
    </sheetView>
  </sheetViews>
  <sheetFormatPr defaultColWidth="9.140625" defaultRowHeight="15" x14ac:dyDescent="0.25"/>
  <cols>
    <col min="1" max="1" width="9.140625" style="794" hidden="1" customWidth="1"/>
    <col min="2" max="2" width="4.7109375" style="794" bestFit="1" customWidth="1"/>
    <col min="3" max="3" width="12.5703125" style="794" bestFit="1" customWidth="1"/>
    <col min="4" max="4" width="56.28515625" style="794" customWidth="1"/>
    <col min="5" max="5" width="11.85546875" style="794" customWidth="1"/>
    <col min="6" max="6" width="15.140625" style="794" customWidth="1"/>
    <col min="7" max="7" width="11.28515625" style="794" customWidth="1"/>
    <col min="8" max="8" width="12.7109375" style="794" customWidth="1"/>
    <col min="9" max="16384" width="9.140625" style="794"/>
  </cols>
  <sheetData>
    <row r="1" spans="1:27" ht="18.75" x14ac:dyDescent="0.25">
      <c r="A1" s="1153" t="s">
        <v>1135</v>
      </c>
      <c r="B1" s="1153"/>
      <c r="C1" s="1153"/>
      <c r="D1" s="1154"/>
      <c r="E1" s="1153"/>
      <c r="F1" s="1155"/>
      <c r="G1" s="1156"/>
      <c r="H1" s="1156"/>
      <c r="I1" s="702"/>
      <c r="J1" s="702"/>
      <c r="K1" s="702"/>
      <c r="L1" s="702"/>
    </row>
    <row r="2" spans="1:27" x14ac:dyDescent="0.25">
      <c r="A2" s="1157" t="s">
        <v>197</v>
      </c>
      <c r="B2" s="1157"/>
      <c r="C2" s="1157"/>
      <c r="D2" s="1158"/>
      <c r="E2" s="1157"/>
      <c r="F2" s="1159"/>
      <c r="G2" s="1160"/>
      <c r="H2" s="1160"/>
      <c r="I2" s="702"/>
      <c r="J2" s="702"/>
      <c r="K2" s="702"/>
      <c r="L2" s="702"/>
    </row>
    <row r="3" spans="1:27" x14ac:dyDescent="0.25">
      <c r="A3" s="1157" t="s">
        <v>1409</v>
      </c>
      <c r="B3" s="1157"/>
      <c r="C3" s="1157"/>
      <c r="D3" s="1158"/>
      <c r="E3" s="1157"/>
      <c r="F3" s="1159"/>
      <c r="G3" s="1160"/>
      <c r="H3" s="1160"/>
      <c r="I3" s="702"/>
      <c r="J3" s="702"/>
      <c r="K3" s="702"/>
      <c r="L3" s="702"/>
    </row>
    <row r="4" spans="1:27" x14ac:dyDescent="0.25">
      <c r="A4" s="1157"/>
      <c r="B4" s="1161"/>
      <c r="C4" s="1161"/>
      <c r="D4" s="1162"/>
      <c r="E4" s="1161"/>
      <c r="F4" s="1163"/>
      <c r="G4" s="1164"/>
      <c r="H4" s="1164"/>
      <c r="I4" s="409"/>
      <c r="J4" s="409"/>
      <c r="K4" s="409"/>
      <c r="L4" s="409"/>
      <c r="M4" s="874"/>
      <c r="N4" s="874"/>
      <c r="O4" s="874"/>
      <c r="P4" s="874"/>
      <c r="Q4" s="874"/>
      <c r="R4" s="874"/>
      <c r="S4" s="874"/>
      <c r="T4" s="874"/>
      <c r="U4" s="874"/>
      <c r="V4" s="874"/>
      <c r="W4" s="874"/>
      <c r="X4" s="874"/>
      <c r="Y4" s="874"/>
      <c r="Z4" s="874"/>
      <c r="AA4" s="874"/>
    </row>
    <row r="5" spans="1:27" x14ac:dyDescent="0.25">
      <c r="A5" s="130" t="s">
        <v>1220</v>
      </c>
      <c r="B5" s="689" t="s">
        <v>1323</v>
      </c>
      <c r="C5" s="689" t="s">
        <v>1152</v>
      </c>
      <c r="D5" s="268" t="s">
        <v>1462</v>
      </c>
      <c r="E5" s="689" t="s">
        <v>1448</v>
      </c>
      <c r="F5" s="300" t="s">
        <v>207</v>
      </c>
      <c r="G5" s="447" t="s">
        <v>979</v>
      </c>
      <c r="H5" s="447" t="s">
        <v>45</v>
      </c>
      <c r="I5" s="409"/>
      <c r="J5" s="409"/>
      <c r="K5" s="409"/>
      <c r="L5" s="409"/>
      <c r="M5" s="874"/>
      <c r="N5" s="874"/>
      <c r="O5" s="874"/>
      <c r="P5" s="874"/>
      <c r="Q5" s="874"/>
      <c r="R5" s="874"/>
      <c r="S5" s="874"/>
      <c r="T5" s="874"/>
      <c r="U5" s="874"/>
      <c r="V5" s="874"/>
      <c r="W5" s="874"/>
      <c r="X5" s="874"/>
      <c r="Y5" s="874"/>
      <c r="Z5" s="874"/>
      <c r="AA5" s="874"/>
    </row>
    <row r="6" spans="1:27" x14ac:dyDescent="0.25">
      <c r="A6" s="63"/>
      <c r="B6" s="640"/>
      <c r="C6" s="572"/>
      <c r="D6" s="152" t="s">
        <v>1249</v>
      </c>
      <c r="E6" s="640"/>
      <c r="F6" s="564"/>
      <c r="G6" s="337"/>
      <c r="H6" s="337">
        <f>SUMIF(B7:B19,"&gt;0",H7:H19)</f>
        <v>115543604.65235531</v>
      </c>
      <c r="I6" s="409"/>
      <c r="J6" s="409"/>
      <c r="K6" s="409"/>
      <c r="L6" s="409"/>
      <c r="M6" s="874"/>
      <c r="N6" s="874"/>
      <c r="O6" s="874"/>
      <c r="P6" s="874"/>
      <c r="Q6" s="874"/>
      <c r="R6" s="874"/>
      <c r="S6" s="874"/>
      <c r="T6" s="874"/>
      <c r="U6" s="874"/>
      <c r="V6" s="874"/>
      <c r="W6" s="874"/>
      <c r="X6" s="874"/>
      <c r="Y6" s="874"/>
      <c r="Z6" s="874"/>
      <c r="AA6" s="874"/>
    </row>
    <row r="7" spans="1:27" ht="30" x14ac:dyDescent="0.25">
      <c r="A7" s="259"/>
      <c r="B7" s="405">
        <v>1</v>
      </c>
      <c r="C7" s="351" t="str">
        <f>'Tiên lượng'!C8</f>
        <v>SA.12112</v>
      </c>
      <c r="D7" s="828" t="str">
        <f>'Tiên lượng'!D8</f>
        <v>Phá dỡ kết cấu bê tông không cốt thép bằng búa căn. (Bê tông mặt đường cũ)</v>
      </c>
      <c r="E7" s="405" t="str">
        <f>'Tiên lượng'!E8</f>
        <v>m3</v>
      </c>
      <c r="F7" s="853">
        <f>'Tiên lượng'!M8</f>
        <v>40.799999999999997</v>
      </c>
      <c r="G7" s="659">
        <f>'Chiết tính'!J21</f>
        <v>380225.94964056002</v>
      </c>
      <c r="H7" s="659">
        <f t="shared" ref="H7:H19" si="0">F7*G7</f>
        <v>15513218.745334847</v>
      </c>
      <c r="I7" s="409"/>
      <c r="J7" s="409"/>
      <c r="K7" s="409"/>
      <c r="L7" s="409"/>
      <c r="M7" s="874"/>
      <c r="N7" s="874"/>
      <c r="O7" s="874"/>
      <c r="P7" s="874"/>
      <c r="Q7" s="874"/>
      <c r="R7" s="874"/>
      <c r="S7" s="874"/>
      <c r="T7" s="874"/>
      <c r="U7" s="874"/>
      <c r="V7" s="874"/>
      <c r="W7" s="874"/>
      <c r="X7" s="874"/>
      <c r="Y7" s="874"/>
      <c r="Z7" s="874"/>
      <c r="AA7" s="874"/>
    </row>
    <row r="8" spans="1:27" ht="30" x14ac:dyDescent="0.25">
      <c r="A8" s="259"/>
      <c r="B8" s="405">
        <v>2</v>
      </c>
      <c r="C8" s="351" t="str">
        <f>'Tiên lượng'!C10</f>
        <v>AB.55321</v>
      </c>
      <c r="D8" s="828" t="str">
        <f>'Tiên lượng'!D10</f>
        <v>Xúc đá tảng, cục bê tông lên phương tiện vận chuyển bằng máy đào 3,6m3, ĐK 0,4÷1m</v>
      </c>
      <c r="E8" s="405" t="str">
        <f>'Tiên lượng'!E10</f>
        <v>100m3</v>
      </c>
      <c r="F8" s="853">
        <f>'Tiên lượng'!M10</f>
        <v>0.53039999999999998</v>
      </c>
      <c r="G8" s="659">
        <f>'Chiết tính'!J36</f>
        <v>10704800.601168251</v>
      </c>
      <c r="H8" s="659">
        <f t="shared" si="0"/>
        <v>5677826.2388596395</v>
      </c>
      <c r="I8" s="409"/>
      <c r="J8" s="409"/>
      <c r="K8" s="409"/>
      <c r="L8" s="409"/>
      <c r="M8" s="874"/>
      <c r="N8" s="874"/>
      <c r="O8" s="874"/>
      <c r="P8" s="874"/>
      <c r="Q8" s="874"/>
      <c r="R8" s="874"/>
      <c r="S8" s="874"/>
      <c r="T8" s="874"/>
      <c r="U8" s="874"/>
      <c r="V8" s="874"/>
      <c r="W8" s="874"/>
      <c r="X8" s="874"/>
      <c r="Y8" s="874"/>
      <c r="Z8" s="874"/>
      <c r="AA8" s="874"/>
    </row>
    <row r="9" spans="1:27" ht="30" x14ac:dyDescent="0.25">
      <c r="A9" s="259"/>
      <c r="B9" s="405">
        <v>3</v>
      </c>
      <c r="C9" s="351" t="str">
        <f>'Tiên lượng'!C12</f>
        <v>AB.56412</v>
      </c>
      <c r="D9" s="828" t="str">
        <f>'Tiên lượng'!D12</f>
        <v>Vận chuyển đá tảng, cục bê tông, ĐK 0,4÷1m, ô tô tự đổ 12T trong phạm vi ≤1000m</v>
      </c>
      <c r="E9" s="405" t="str">
        <f>'Tiên lượng'!E12</f>
        <v>100m3</v>
      </c>
      <c r="F9" s="853">
        <f>'Tiên lượng'!M12</f>
        <v>0.53039999999999998</v>
      </c>
      <c r="G9" s="659">
        <f>'Chiết tính'!J50</f>
        <v>9259963.9998075645</v>
      </c>
      <c r="H9" s="659">
        <f t="shared" si="0"/>
        <v>4911484.9054979319</v>
      </c>
      <c r="I9" s="409"/>
      <c r="J9" s="409"/>
      <c r="K9" s="409"/>
      <c r="L9" s="409"/>
      <c r="M9" s="874"/>
      <c r="N9" s="874"/>
      <c r="O9" s="874"/>
      <c r="P9" s="874"/>
      <c r="Q9" s="874"/>
      <c r="R9" s="874"/>
      <c r="S9" s="874"/>
      <c r="T9" s="874"/>
      <c r="U9" s="874"/>
      <c r="V9" s="874"/>
      <c r="W9" s="874"/>
      <c r="X9" s="874"/>
      <c r="Y9" s="874"/>
      <c r="Z9" s="874"/>
      <c r="AA9" s="874"/>
    </row>
    <row r="10" spans="1:27" ht="30" x14ac:dyDescent="0.25">
      <c r="A10" s="259"/>
      <c r="B10" s="405">
        <v>4</v>
      </c>
      <c r="C10" s="351" t="str">
        <f>'Tiên lượng'!C13</f>
        <v>TT</v>
      </c>
      <c r="D10" s="828" t="str">
        <f>'Tiên lượng'!D13</f>
        <v>Đào xúc đất sạt lở ta luy đồi xuống đường bằng máy xúc đào 0,4m3</v>
      </c>
      <c r="E10" s="405" t="str">
        <f>'Tiên lượng'!E13</f>
        <v>ca</v>
      </c>
      <c r="F10" s="853">
        <f>'Tiên lượng'!M13</f>
        <v>2</v>
      </c>
      <c r="G10" s="659">
        <f>'Chiết tính'!J65</f>
        <v>4004052.48</v>
      </c>
      <c r="H10" s="659">
        <f t="shared" si="0"/>
        <v>8008104.96</v>
      </c>
      <c r="I10" s="409"/>
      <c r="J10" s="409"/>
      <c r="K10" s="409"/>
      <c r="L10" s="409"/>
      <c r="M10" s="874"/>
      <c r="N10" s="874"/>
      <c r="O10" s="874"/>
      <c r="P10" s="874"/>
      <c r="Q10" s="874"/>
      <c r="R10" s="874"/>
      <c r="S10" s="874"/>
      <c r="T10" s="874"/>
      <c r="U10" s="874"/>
      <c r="V10" s="874"/>
      <c r="W10" s="874"/>
      <c r="X10" s="874"/>
      <c r="Y10" s="874"/>
      <c r="Z10" s="874"/>
      <c r="AA10" s="874"/>
    </row>
    <row r="11" spans="1:27" x14ac:dyDescent="0.25">
      <c r="A11" s="259"/>
      <c r="B11" s="405">
        <v>5</v>
      </c>
      <c r="C11" s="351" t="str">
        <f>'Tiên lượng'!C14</f>
        <v>TT</v>
      </c>
      <c r="D11" s="828" t="str">
        <f>'Tiên lượng'!D14</f>
        <v>vận chuyển đất sạt lở ta luy đồi bằng ô tô</v>
      </c>
      <c r="E11" s="405" t="str">
        <f>'Tiên lượng'!E14</f>
        <v>ca</v>
      </c>
      <c r="F11" s="853">
        <f>'Tiên lượng'!M14</f>
        <v>2</v>
      </c>
      <c r="G11" s="659">
        <f>'Chiết tính'!J80</f>
        <v>2502532.7999999998</v>
      </c>
      <c r="H11" s="659">
        <f t="shared" si="0"/>
        <v>5005065.5999999996</v>
      </c>
      <c r="I11" s="409"/>
      <c r="J11" s="409"/>
      <c r="K11" s="409"/>
      <c r="L11" s="409"/>
      <c r="M11" s="874"/>
      <c r="N11" s="874"/>
      <c r="O11" s="874"/>
      <c r="P11" s="874"/>
      <c r="Q11" s="874"/>
      <c r="R11" s="874"/>
      <c r="S11" s="874"/>
      <c r="T11" s="874"/>
      <c r="U11" s="874"/>
      <c r="V11" s="874"/>
      <c r="W11" s="874"/>
      <c r="X11" s="874"/>
      <c r="Y11" s="874"/>
      <c r="Z11" s="874"/>
      <c r="AA11" s="874"/>
    </row>
    <row r="12" spans="1:27" ht="30" x14ac:dyDescent="0.25">
      <c r="A12" s="259"/>
      <c r="B12" s="405">
        <v>6</v>
      </c>
      <c r="C12" s="351" t="str">
        <f>'Tiên lượng'!C15</f>
        <v>AB.31113</v>
      </c>
      <c r="D12" s="828" t="str">
        <f>'Tiên lượng'!D15</f>
        <v>Đào nền đường bằng máy đào 0,4m3 - Cấp đất III (Bổ sung TT09/2024). Đào hạ nền đường trung bình 50cm, dài 50m</v>
      </c>
      <c r="E12" s="405" t="str">
        <f>'Tiên lượng'!E15</f>
        <v>100m3</v>
      </c>
      <c r="F12" s="853">
        <f>'Tiên lượng'!M15</f>
        <v>0.875</v>
      </c>
      <c r="G12" s="659">
        <f>'Chiết tính'!J95</f>
        <v>8197109.8508344321</v>
      </c>
      <c r="H12" s="659">
        <f t="shared" si="0"/>
        <v>7172471.1194801284</v>
      </c>
      <c r="I12" s="409"/>
      <c r="J12" s="409"/>
      <c r="K12" s="409"/>
      <c r="L12" s="409"/>
      <c r="M12" s="874"/>
      <c r="N12" s="874"/>
      <c r="O12" s="874"/>
      <c r="P12" s="874"/>
      <c r="Q12" s="874"/>
      <c r="R12" s="874"/>
      <c r="S12" s="874"/>
      <c r="T12" s="874"/>
      <c r="U12" s="874"/>
      <c r="V12" s="874"/>
      <c r="W12" s="874"/>
      <c r="X12" s="874"/>
      <c r="Y12" s="874"/>
      <c r="Z12" s="874"/>
      <c r="AA12" s="874"/>
    </row>
    <row r="13" spans="1:27" ht="30" x14ac:dyDescent="0.25">
      <c r="A13" s="259"/>
      <c r="B13" s="405">
        <v>7</v>
      </c>
      <c r="C13" s="351" t="str">
        <f>'Tiên lượng'!C17</f>
        <v>AB.41123.VD</v>
      </c>
      <c r="D13" s="828" t="str">
        <f>'Tiên lượng'!D17</f>
        <v>Vận chuyển đất bằng ô tô tự đổ 7T, phạm vi ≤300m - Cấp đất III</v>
      </c>
      <c r="E13" s="405" t="str">
        <f>'Tiên lượng'!E17</f>
        <v>ca</v>
      </c>
      <c r="F13" s="853">
        <f>'Tiên lượng'!M17</f>
        <v>1</v>
      </c>
      <c r="G13" s="659">
        <f>'Chiết tính'!J109</f>
        <v>2502532.7999999998</v>
      </c>
      <c r="H13" s="659">
        <f t="shared" si="0"/>
        <v>2502532.7999999998</v>
      </c>
      <c r="I13" s="409"/>
      <c r="J13" s="409"/>
      <c r="K13" s="409"/>
      <c r="L13" s="409"/>
      <c r="M13" s="874"/>
      <c r="N13" s="874"/>
      <c r="O13" s="874"/>
      <c r="P13" s="874"/>
      <c r="Q13" s="874"/>
      <c r="R13" s="874"/>
      <c r="S13" s="874"/>
      <c r="T13" s="874"/>
      <c r="U13" s="874"/>
      <c r="V13" s="874"/>
      <c r="W13" s="874"/>
      <c r="X13" s="874"/>
      <c r="Y13" s="874"/>
      <c r="Z13" s="874"/>
      <c r="AA13" s="874"/>
    </row>
    <row r="14" spans="1:27" x14ac:dyDescent="0.25">
      <c r="A14" s="259"/>
      <c r="B14" s="405">
        <v>8</v>
      </c>
      <c r="C14" s="351" t="str">
        <f>'Tiên lượng'!C18</f>
        <v>AD.11212.VD</v>
      </c>
      <c r="D14" s="828" t="str">
        <f>'Tiên lượng'!D18</f>
        <v>Bù vênh mặt đường bằng Đá dăm cấp phối loại II (Subbase)</v>
      </c>
      <c r="E14" s="405" t="str">
        <f>'Tiên lượng'!E18</f>
        <v>100m3</v>
      </c>
      <c r="F14" s="853">
        <f>'Tiên lượng'!M18</f>
        <v>0.5</v>
      </c>
      <c r="G14" s="659">
        <f>'Chiết tính'!J127</f>
        <v>69011418.714301124</v>
      </c>
      <c r="H14" s="659">
        <f t="shared" si="0"/>
        <v>34505709.357150562</v>
      </c>
      <c r="I14" s="409"/>
      <c r="J14" s="409"/>
      <c r="K14" s="409"/>
      <c r="L14" s="409"/>
      <c r="M14" s="874"/>
      <c r="N14" s="874"/>
      <c r="O14" s="874"/>
      <c r="P14" s="874"/>
      <c r="Q14" s="874"/>
      <c r="R14" s="874"/>
      <c r="S14" s="874"/>
      <c r="T14" s="874"/>
      <c r="U14" s="874"/>
      <c r="V14" s="874"/>
      <c r="W14" s="874"/>
      <c r="X14" s="874"/>
      <c r="Y14" s="874"/>
      <c r="Z14" s="874"/>
      <c r="AA14" s="874"/>
    </row>
    <row r="15" spans="1:27" x14ac:dyDescent="0.25">
      <c r="A15" s="259"/>
      <c r="B15" s="405">
        <v>9</v>
      </c>
      <c r="C15" s="351" t="str">
        <f>'Tiên lượng'!C20</f>
        <v>AD.11222.VD</v>
      </c>
      <c r="D15" s="828" t="str">
        <f>'Tiên lượng'!D20</f>
        <v>Thi công lớp đệm móng bằng đá mạt. chiều dài 150m</v>
      </c>
      <c r="E15" s="405" t="str">
        <f>'Tiên lượng'!E20</f>
        <v>100m3</v>
      </c>
      <c r="F15" s="853">
        <f>'Tiên lượng'!M20</f>
        <v>0.16649999999999998</v>
      </c>
      <c r="G15" s="659">
        <f>'Chiết tính'!J142</f>
        <v>68021777.244737417</v>
      </c>
      <c r="H15" s="659">
        <f t="shared" si="0"/>
        <v>11325625.911248779</v>
      </c>
      <c r="I15" s="409"/>
      <c r="J15" s="409"/>
      <c r="K15" s="409"/>
      <c r="L15" s="409"/>
      <c r="M15" s="874"/>
      <c r="N15" s="874"/>
      <c r="O15" s="874"/>
      <c r="P15" s="874"/>
      <c r="Q15" s="874"/>
      <c r="R15" s="874"/>
      <c r="S15" s="874"/>
      <c r="T15" s="874"/>
      <c r="U15" s="874"/>
      <c r="V15" s="874"/>
      <c r="W15" s="874"/>
      <c r="X15" s="874"/>
      <c r="Y15" s="874"/>
      <c r="Z15" s="874"/>
      <c r="AA15" s="874"/>
    </row>
    <row r="16" spans="1:27" x14ac:dyDescent="0.25">
      <c r="A16" s="259"/>
      <c r="B16" s="405">
        <v>10</v>
      </c>
      <c r="C16" s="351" t="str">
        <f>'Tiên lượng'!C22</f>
        <v>TT.00001</v>
      </c>
      <c r="D16" s="828" t="str">
        <f>'Tiên lượng'!D22</f>
        <v xml:space="preserve">San gạt tạo phẳng nền đường bằng máy San </v>
      </c>
      <c r="E16" s="405" t="str">
        <f>'Tiên lượng'!E22</f>
        <v>ca</v>
      </c>
      <c r="F16" s="853">
        <f>'Tiên lượng'!M22</f>
        <v>1</v>
      </c>
      <c r="G16" s="659">
        <f>'Chiết tính'!J157</f>
        <v>6256332</v>
      </c>
      <c r="H16" s="659">
        <f t="shared" si="0"/>
        <v>6256332</v>
      </c>
      <c r="I16" s="409"/>
      <c r="J16" s="409"/>
      <c r="K16" s="409"/>
      <c r="L16" s="409"/>
      <c r="M16" s="874"/>
      <c r="N16" s="874"/>
      <c r="O16" s="874"/>
      <c r="P16" s="874"/>
      <c r="Q16" s="874"/>
      <c r="R16" s="874"/>
      <c r="S16" s="874"/>
      <c r="T16" s="874"/>
      <c r="U16" s="874"/>
      <c r="V16" s="874"/>
      <c r="W16" s="874"/>
      <c r="X16" s="874"/>
      <c r="Y16" s="874"/>
      <c r="Z16" s="874"/>
      <c r="AA16" s="874"/>
    </row>
    <row r="17" spans="1:27" ht="30" x14ac:dyDescent="0.25">
      <c r="A17" s="259"/>
      <c r="B17" s="405">
        <v>11</v>
      </c>
      <c r="C17" s="351" t="str">
        <f>'Tiên lượng'!C23</f>
        <v>TT</v>
      </c>
      <c r="D17" s="828" t="str">
        <f>'Tiên lượng'!D23</f>
        <v>Công tác đào rãnh, hố ga để đặt cống thoát nước đầu tuyến bằng thủ công</v>
      </c>
      <c r="E17" s="405" t="str">
        <f>'Tiên lượng'!E23</f>
        <v>công</v>
      </c>
      <c r="F17" s="853">
        <f>'Tiên lượng'!M23</f>
        <v>4</v>
      </c>
      <c r="G17" s="659">
        <f>'Chiết tính'!J172</f>
        <v>563069.88</v>
      </c>
      <c r="H17" s="659">
        <f t="shared" si="0"/>
        <v>2252279.52</v>
      </c>
      <c r="I17" s="409"/>
      <c r="J17" s="409"/>
      <c r="K17" s="409"/>
      <c r="L17" s="409"/>
      <c r="M17" s="874"/>
      <c r="N17" s="874"/>
      <c r="O17" s="874"/>
      <c r="P17" s="874"/>
      <c r="Q17" s="874"/>
      <c r="R17" s="874"/>
      <c r="S17" s="874"/>
      <c r="T17" s="874"/>
      <c r="U17" s="874"/>
      <c r="V17" s="874"/>
      <c r="W17" s="874"/>
      <c r="X17" s="874"/>
      <c r="Y17" s="874"/>
      <c r="Z17" s="874"/>
      <c r="AA17" s="874"/>
    </row>
    <row r="18" spans="1:27" ht="30" x14ac:dyDescent="0.25">
      <c r="A18" s="259"/>
      <c r="B18" s="405">
        <v>12</v>
      </c>
      <c r="C18" s="351" t="str">
        <f>'Tiên lượng'!C24</f>
        <v>BB.11211</v>
      </c>
      <c r="D18" s="828" t="str">
        <f>'Tiên lượng'!D24</f>
        <v>Lắp đặt ống bê tông bằng cần cẩu, đoạn ống dài 1m - Đường kính ≤600mm</v>
      </c>
      <c r="E18" s="405" t="str">
        <f>'Tiên lượng'!E24</f>
        <v>1 đoạn ống</v>
      </c>
      <c r="F18" s="853">
        <f>'Tiên lượng'!M24</f>
        <v>5</v>
      </c>
      <c r="G18" s="659">
        <f>'Chiết tính'!J190</f>
        <v>1481577.578956689</v>
      </c>
      <c r="H18" s="659">
        <f t="shared" si="0"/>
        <v>7407887.8947834447</v>
      </c>
      <c r="I18" s="409"/>
      <c r="J18" s="409"/>
      <c r="K18" s="409"/>
      <c r="L18" s="409"/>
      <c r="M18" s="874"/>
      <c r="N18" s="874"/>
      <c r="O18" s="874"/>
      <c r="P18" s="874"/>
      <c r="Q18" s="874"/>
      <c r="R18" s="874"/>
      <c r="S18" s="874"/>
      <c r="T18" s="874"/>
      <c r="U18" s="874"/>
      <c r="V18" s="874"/>
      <c r="W18" s="874"/>
      <c r="X18" s="874"/>
      <c r="Y18" s="874"/>
      <c r="Z18" s="874"/>
      <c r="AA18" s="874"/>
    </row>
    <row r="19" spans="1:27" x14ac:dyDescent="0.25">
      <c r="A19" s="259"/>
      <c r="B19" s="405">
        <v>13</v>
      </c>
      <c r="C19" s="351" t="str">
        <f>'Tiên lượng'!C25</f>
        <v>TT</v>
      </c>
      <c r="D19" s="828" t="str">
        <f>'Tiên lượng'!D25</f>
        <v>Thi công hố ga 2 đầu cống</v>
      </c>
      <c r="E19" s="405" t="str">
        <f>'Tiên lượng'!E25</f>
        <v>cái</v>
      </c>
      <c r="F19" s="853">
        <f>'Tiên lượng'!M25</f>
        <v>2</v>
      </c>
      <c r="G19" s="659">
        <f>'Chiết tính'!J206</f>
        <v>2502532.7999999998</v>
      </c>
      <c r="H19" s="659">
        <f t="shared" si="0"/>
        <v>5005065.5999999996</v>
      </c>
      <c r="I19" s="409"/>
      <c r="J19" s="409"/>
      <c r="K19" s="409"/>
      <c r="L19" s="409"/>
      <c r="M19" s="874"/>
      <c r="N19" s="874"/>
      <c r="O19" s="874"/>
      <c r="P19" s="874"/>
      <c r="Q19" s="874"/>
      <c r="R19" s="874"/>
      <c r="S19" s="874"/>
      <c r="T19" s="874"/>
      <c r="U19" s="874"/>
      <c r="V19" s="874"/>
      <c r="W19" s="874"/>
      <c r="X19" s="874"/>
      <c r="Y19" s="874"/>
      <c r="Z19" s="874"/>
      <c r="AA19" s="874"/>
    </row>
    <row r="20" spans="1:27" x14ac:dyDescent="0.25">
      <c r="A20" s="63"/>
      <c r="B20" s="640"/>
      <c r="C20" s="572"/>
      <c r="D20" s="152" t="s">
        <v>339</v>
      </c>
      <c r="E20" s="640"/>
      <c r="F20" s="564"/>
      <c r="G20" s="337"/>
      <c r="H20" s="337">
        <f>SUMIF(B21:B25,"&gt;0",H21:H25)</f>
        <v>1010926238.1213584</v>
      </c>
      <c r="I20" s="409"/>
      <c r="J20" s="409"/>
      <c r="K20" s="409"/>
      <c r="L20" s="409"/>
      <c r="M20" s="874"/>
      <c r="N20" s="874"/>
      <c r="O20" s="874"/>
      <c r="P20" s="874"/>
      <c r="Q20" s="874"/>
      <c r="R20" s="874"/>
      <c r="S20" s="874"/>
      <c r="T20" s="874"/>
      <c r="U20" s="874"/>
      <c r="V20" s="874"/>
      <c r="W20" s="874"/>
      <c r="X20" s="874"/>
      <c r="Y20" s="874"/>
      <c r="Z20" s="874"/>
      <c r="AA20" s="874"/>
    </row>
    <row r="21" spans="1:27" x14ac:dyDescent="0.25">
      <c r="A21" s="259"/>
      <c r="B21" s="405">
        <v>14</v>
      </c>
      <c r="C21" s="351" t="str">
        <f>'Tiên lượng'!C27</f>
        <v>AL.16201</v>
      </c>
      <c r="D21" s="828" t="str">
        <f>'Tiên lượng'!D27</f>
        <v>Rải giấy ni long lớp cách ly</v>
      </c>
      <c r="E21" s="405" t="str">
        <f>'Tiên lượng'!E27</f>
        <v>100m2</v>
      </c>
      <c r="F21" s="853">
        <f>'Tiên lượng'!M27</f>
        <v>18.594999999999999</v>
      </c>
      <c r="G21" s="659">
        <f>'Chiết tính'!J222</f>
        <v>602334.61963199999</v>
      </c>
      <c r="H21" s="659">
        <f t="shared" ref="H21:H25" si="1">F21*G21</f>
        <v>11200412.252057038</v>
      </c>
      <c r="I21" s="409"/>
      <c r="J21" s="409"/>
      <c r="K21" s="409"/>
      <c r="L21" s="409"/>
      <c r="M21" s="874"/>
      <c r="N21" s="874"/>
      <c r="O21" s="874"/>
      <c r="P21" s="874"/>
      <c r="Q21" s="874"/>
      <c r="R21" s="874"/>
      <c r="S21" s="874"/>
      <c r="T21" s="874"/>
      <c r="U21" s="874"/>
      <c r="V21" s="874"/>
      <c r="W21" s="874"/>
      <c r="X21" s="874"/>
      <c r="Y21" s="874"/>
      <c r="Z21" s="874"/>
      <c r="AA21" s="874"/>
    </row>
    <row r="22" spans="1:27" x14ac:dyDescent="0.25">
      <c r="A22" s="259"/>
      <c r="B22" s="405">
        <v>15</v>
      </c>
      <c r="C22" s="351" t="str">
        <f>'Tiên lượng'!C30</f>
        <v>AF.82411</v>
      </c>
      <c r="D22" s="828" t="str">
        <f>'Tiên lượng'!D30</f>
        <v>Ván khuôn thép mặt đường bê tông</v>
      </c>
      <c r="E22" s="405" t="str">
        <f>'Tiên lượng'!E30</f>
        <v>100m2</v>
      </c>
      <c r="F22" s="853">
        <f>'Tiên lượng'!M30</f>
        <v>2.0680000000000001</v>
      </c>
      <c r="G22" s="659">
        <f>'Chiết tính'!J241</f>
        <v>5175138.9463067772</v>
      </c>
      <c r="H22" s="659">
        <f t="shared" si="1"/>
        <v>10702187.340962416</v>
      </c>
      <c r="I22" s="409"/>
      <c r="J22" s="409"/>
      <c r="K22" s="409"/>
      <c r="L22" s="409"/>
      <c r="M22" s="874"/>
      <c r="N22" s="874"/>
      <c r="O22" s="874"/>
      <c r="P22" s="874"/>
      <c r="Q22" s="874"/>
      <c r="R22" s="874"/>
      <c r="S22" s="874"/>
      <c r="T22" s="874"/>
      <c r="U22" s="874"/>
      <c r="V22" s="874"/>
      <c r="W22" s="874"/>
      <c r="X22" s="874"/>
      <c r="Y22" s="874"/>
      <c r="Z22" s="874"/>
      <c r="AA22" s="874"/>
    </row>
    <row r="23" spans="1:27" ht="45" x14ac:dyDescent="0.25">
      <c r="A23" s="259"/>
      <c r="B23" s="405">
        <v>16</v>
      </c>
      <c r="C23" s="351" t="str">
        <f>'Tiên lượng'!C32</f>
        <v>AF.15434A</v>
      </c>
      <c r="D23" s="828" t="str">
        <f>'Tiên lượng'!D32</f>
        <v>Bê tông sản xuất bằng máy trộn và đổ bằng thủ công, bê tông mặt đường dày mặt đường ≤25cm, bê tông M250, đá 2x4, PCB30</v>
      </c>
      <c r="E23" s="405" t="str">
        <f>'Tiên lượng'!E32</f>
        <v>m3</v>
      </c>
      <c r="F23" s="853">
        <f>'Tiên lượng'!M32</f>
        <v>371.90000000000003</v>
      </c>
      <c r="G23" s="659">
        <f>'Chiết tính'!J266</f>
        <v>2525582.2940861685</v>
      </c>
      <c r="H23" s="659">
        <f t="shared" si="1"/>
        <v>939264055.17064619</v>
      </c>
      <c r="I23" s="409"/>
      <c r="J23" s="409"/>
      <c r="K23" s="409"/>
      <c r="L23" s="409"/>
      <c r="M23" s="874"/>
      <c r="N23" s="874"/>
      <c r="O23" s="874"/>
      <c r="P23" s="874"/>
      <c r="Q23" s="874"/>
      <c r="R23" s="874"/>
      <c r="S23" s="874"/>
      <c r="T23" s="874"/>
      <c r="U23" s="874"/>
      <c r="V23" s="874"/>
      <c r="W23" s="874"/>
      <c r="X23" s="874"/>
      <c r="Y23" s="874"/>
      <c r="Z23" s="874"/>
      <c r="AA23" s="874"/>
    </row>
    <row r="24" spans="1:27" x14ac:dyDescent="0.25">
      <c r="A24" s="259"/>
      <c r="B24" s="405">
        <v>17</v>
      </c>
      <c r="C24" s="351" t="str">
        <f>'Tiên lượng'!C35</f>
        <v>AL.22111</v>
      </c>
      <c r="D24" s="828" t="str">
        <f>'Tiên lượng'!D35</f>
        <v>Cắt khe co, dãn mặt đường BTXM ( 5m cắt 1 mạch)</v>
      </c>
      <c r="E24" s="405" t="str">
        <f>'Tiên lượng'!E35</f>
        <v>10m</v>
      </c>
      <c r="F24" s="853">
        <f>'Tiên lượng'!M35</f>
        <v>36.190000000000005</v>
      </c>
      <c r="G24" s="659">
        <f>'Chiết tính'!J283</f>
        <v>281988.82437393599</v>
      </c>
      <c r="H24" s="659">
        <f t="shared" si="1"/>
        <v>10205175.554092744</v>
      </c>
      <c r="I24" s="409"/>
      <c r="J24" s="409"/>
      <c r="K24" s="409"/>
      <c r="L24" s="409"/>
      <c r="M24" s="874"/>
      <c r="N24" s="874"/>
      <c r="O24" s="874"/>
      <c r="P24" s="874"/>
      <c r="Q24" s="874"/>
      <c r="R24" s="874"/>
      <c r="S24" s="874"/>
      <c r="T24" s="874"/>
      <c r="U24" s="874"/>
      <c r="V24" s="874"/>
      <c r="W24" s="874"/>
      <c r="X24" s="874"/>
      <c r="Y24" s="874"/>
      <c r="Z24" s="874"/>
      <c r="AA24" s="874"/>
    </row>
    <row r="25" spans="1:27" x14ac:dyDescent="0.25">
      <c r="A25" s="259"/>
      <c r="B25" s="405">
        <v>18</v>
      </c>
      <c r="C25" s="351" t="str">
        <f>'Tiên lượng'!C37</f>
        <v>TT</v>
      </c>
      <c r="D25" s="828" t="str">
        <f>'Tiên lượng'!D37</f>
        <v>Công tác đánh bóng mặt đường bằng máy</v>
      </c>
      <c r="E25" s="405" t="str">
        <f>'Tiên lượng'!E37</f>
        <v>m2</v>
      </c>
      <c r="F25" s="853">
        <f>'Tiên lượng'!M37</f>
        <v>1859.5</v>
      </c>
      <c r="G25" s="659">
        <f>'Chiết tính'!J299</f>
        <v>21271.5288</v>
      </c>
      <c r="H25" s="659">
        <f t="shared" si="1"/>
        <v>39554407.803599998</v>
      </c>
      <c r="I25" s="409"/>
      <c r="J25" s="409"/>
      <c r="K25" s="409"/>
      <c r="L25" s="409"/>
      <c r="M25" s="874"/>
      <c r="N25" s="874"/>
      <c r="O25" s="874"/>
      <c r="P25" s="874"/>
      <c r="Q25" s="874"/>
      <c r="R25" s="874"/>
      <c r="S25" s="874"/>
      <c r="T25" s="874"/>
      <c r="U25" s="874"/>
      <c r="V25" s="874"/>
      <c r="W25" s="874"/>
      <c r="X25" s="874"/>
      <c r="Y25" s="874"/>
      <c r="Z25" s="874"/>
      <c r="AA25" s="874"/>
    </row>
    <row r="26" spans="1:27" x14ac:dyDescent="0.25">
      <c r="A26" s="63"/>
      <c r="B26" s="640"/>
      <c r="C26" s="572"/>
      <c r="D26" s="152" t="s">
        <v>574</v>
      </c>
      <c r="E26" s="640"/>
      <c r="F26" s="564"/>
      <c r="G26" s="337"/>
      <c r="H26" s="337">
        <f>SUMIF(B27:B30,"&gt;0",H27:H30)</f>
        <v>108539515.42142694</v>
      </c>
      <c r="I26" s="409"/>
      <c r="J26" s="409"/>
      <c r="K26" s="409"/>
      <c r="L26" s="409"/>
      <c r="M26" s="874"/>
      <c r="N26" s="874"/>
      <c r="O26" s="874"/>
      <c r="P26" s="874"/>
      <c r="Q26" s="874"/>
      <c r="R26" s="874"/>
      <c r="S26" s="874"/>
      <c r="T26" s="874"/>
      <c r="U26" s="874"/>
      <c r="V26" s="874"/>
      <c r="W26" s="874"/>
      <c r="X26" s="874"/>
      <c r="Y26" s="874"/>
      <c r="Z26" s="874"/>
      <c r="AA26" s="874"/>
    </row>
    <row r="27" spans="1:27" ht="30" x14ac:dyDescent="0.25">
      <c r="A27" s="259"/>
      <c r="B27" s="405">
        <v>19</v>
      </c>
      <c r="C27" s="351" t="str">
        <f>'Tiên lượng'!C40</f>
        <v>AB.27103</v>
      </c>
      <c r="D27" s="828" t="str">
        <f>'Tiên lượng'!D40</f>
        <v>Đào kênh mương, chiều rộng kênh mương ≤6m bằng máy đào 0,4m3 - Cấp đất III</v>
      </c>
      <c r="E27" s="405" t="str">
        <f>'Tiên lượng'!E40</f>
        <v>100m3</v>
      </c>
      <c r="F27" s="853">
        <f>'Tiên lượng'!M40</f>
        <v>0.41360000000000008</v>
      </c>
      <c r="G27" s="659">
        <f>'Chiết tính'!J314</f>
        <v>4923337.4083363675</v>
      </c>
      <c r="H27" s="659">
        <f t="shared" ref="H27:H30" si="2">F27*G27</f>
        <v>2036292.3520879219</v>
      </c>
      <c r="I27" s="409"/>
      <c r="J27" s="409"/>
      <c r="K27" s="409"/>
      <c r="L27" s="409"/>
      <c r="M27" s="874"/>
      <c r="N27" s="874"/>
      <c r="O27" s="874"/>
      <c r="P27" s="874"/>
      <c r="Q27" s="874"/>
      <c r="R27" s="874"/>
      <c r="S27" s="874"/>
      <c r="T27" s="874"/>
      <c r="U27" s="874"/>
      <c r="V27" s="874"/>
      <c r="W27" s="874"/>
      <c r="X27" s="874"/>
      <c r="Y27" s="874"/>
      <c r="Z27" s="874"/>
      <c r="AA27" s="874"/>
    </row>
    <row r="28" spans="1:27" ht="30" x14ac:dyDescent="0.25">
      <c r="A28" s="259"/>
      <c r="B28" s="405">
        <v>20</v>
      </c>
      <c r="C28" s="351" t="str">
        <f>'Tiên lượng'!C42</f>
        <v>AB.11503</v>
      </c>
      <c r="D28" s="828" t="str">
        <f>'Tiên lượng'!D42</f>
        <v>Đào kênh mương, rãnh thoát nước, đường ống, đường cáp bằng thủ công, rộng ≤1m, sâu ≤1m - Cấp đất III</v>
      </c>
      <c r="E28" s="405" t="str">
        <f>'Tiên lượng'!E42</f>
        <v>1m3</v>
      </c>
      <c r="F28" s="853">
        <f>'Tiên lượng'!M42</f>
        <v>17.13</v>
      </c>
      <c r="G28" s="659">
        <f>'Chiết tính'!J328</f>
        <v>463420.47537302406</v>
      </c>
      <c r="H28" s="659">
        <f t="shared" si="2"/>
        <v>7938392.7431399021</v>
      </c>
      <c r="I28" s="409"/>
      <c r="J28" s="409"/>
      <c r="K28" s="409"/>
      <c r="L28" s="409"/>
      <c r="M28" s="874"/>
      <c r="N28" s="874"/>
      <c r="O28" s="874"/>
      <c r="P28" s="874"/>
      <c r="Q28" s="874"/>
      <c r="R28" s="874"/>
      <c r="S28" s="874"/>
      <c r="T28" s="874"/>
      <c r="U28" s="874"/>
      <c r="V28" s="874"/>
      <c r="W28" s="874"/>
      <c r="X28" s="874"/>
      <c r="Y28" s="874"/>
      <c r="Z28" s="874"/>
      <c r="AA28" s="874"/>
    </row>
    <row r="29" spans="1:27" x14ac:dyDescent="0.25">
      <c r="A29" s="259"/>
      <c r="B29" s="405">
        <v>21</v>
      </c>
      <c r="C29" s="351" t="str">
        <f>'Tiên lượng'!C44</f>
        <v>TT</v>
      </c>
      <c r="D29" s="828" t="str">
        <f>'Tiên lượng'!D44</f>
        <v>Ô tô vận chuyển đất đi đổ</v>
      </c>
      <c r="E29" s="405" t="str">
        <f>'Tiên lượng'!E44</f>
        <v>ca</v>
      </c>
      <c r="F29" s="853">
        <f>'Tiên lượng'!M44</f>
        <v>1</v>
      </c>
      <c r="G29" s="659">
        <f>'Chiết tính'!J343</f>
        <v>2502532.7999999998</v>
      </c>
      <c r="H29" s="659">
        <f t="shared" si="2"/>
        <v>2502532.7999999998</v>
      </c>
      <c r="I29" s="409"/>
      <c r="J29" s="409"/>
      <c r="K29" s="409"/>
      <c r="L29" s="409"/>
      <c r="M29" s="874"/>
      <c r="N29" s="874"/>
      <c r="O29" s="874"/>
      <c r="P29" s="874"/>
      <c r="Q29" s="874"/>
      <c r="R29" s="874"/>
      <c r="S29" s="874"/>
      <c r="T29" s="874"/>
      <c r="U29" s="874"/>
      <c r="V29" s="874"/>
      <c r="W29" s="874"/>
      <c r="X29" s="874"/>
      <c r="Y29" s="874"/>
      <c r="Z29" s="874"/>
      <c r="AA29" s="874"/>
    </row>
    <row r="30" spans="1:27" x14ac:dyDescent="0.25">
      <c r="A30" s="801"/>
      <c r="B30" s="47">
        <v>22</v>
      </c>
      <c r="C30" s="890" t="str">
        <f>'Tiên lượng'!C45</f>
        <v>SF.11311.VD</v>
      </c>
      <c r="D30" s="485" t="str">
        <f>'Tiên lượng'!D45</f>
        <v>Đắp phụ nền, lề đường bằng Đá dăm cấp phối loại II (Subbase)</v>
      </c>
      <c r="E30" s="47" t="str">
        <f>'Tiên lượng'!E45</f>
        <v>m3</v>
      </c>
      <c r="F30" s="517">
        <f>'Tiên lượng'!M45</f>
        <v>113.74000000000001</v>
      </c>
      <c r="G30" s="676">
        <f>'Chiết tính'!J359</f>
        <v>844577.96312817931</v>
      </c>
      <c r="H30" s="676">
        <f t="shared" si="2"/>
        <v>96062297.526199117</v>
      </c>
      <c r="I30" s="409"/>
      <c r="J30" s="409"/>
      <c r="K30" s="409"/>
      <c r="L30" s="409"/>
      <c r="M30" s="874"/>
      <c r="N30" s="874"/>
      <c r="O30" s="874"/>
      <c r="P30" s="874"/>
      <c r="Q30" s="874"/>
      <c r="R30" s="874"/>
      <c r="S30" s="874"/>
      <c r="T30" s="874"/>
      <c r="U30" s="874"/>
      <c r="V30" s="874"/>
      <c r="W30" s="874"/>
      <c r="X30" s="874"/>
      <c r="Y30" s="874"/>
      <c r="Z30" s="874"/>
      <c r="AA30" s="874"/>
    </row>
    <row r="31" spans="1:27" x14ac:dyDescent="0.25">
      <c r="A31" s="737" t="s">
        <v>512</v>
      </c>
      <c r="B31" s="76"/>
      <c r="C31" s="10"/>
      <c r="D31" s="520" t="s">
        <v>1197</v>
      </c>
      <c r="E31" s="76"/>
      <c r="F31" s="550"/>
      <c r="G31" s="323"/>
      <c r="H31" s="323">
        <f>SUMIF(B7:B30,"&gt;0",H7:H30)</f>
        <v>1235009358.1951406</v>
      </c>
      <c r="I31" s="409"/>
      <c r="J31" s="409"/>
      <c r="K31" s="409"/>
      <c r="L31" s="409"/>
      <c r="M31" s="874"/>
      <c r="N31" s="874"/>
      <c r="O31" s="874"/>
      <c r="P31" s="874"/>
      <c r="Q31" s="874"/>
      <c r="R31" s="874"/>
      <c r="S31" s="874"/>
      <c r="T31" s="874"/>
      <c r="U31" s="874"/>
      <c r="V31" s="874"/>
      <c r="W31" s="874"/>
      <c r="X31" s="874"/>
      <c r="Y31" s="874"/>
      <c r="Z31" s="874"/>
      <c r="AA31" s="874"/>
    </row>
    <row r="32" spans="1:27" x14ac:dyDescent="0.25">
      <c r="B32" s="874"/>
      <c r="C32" s="874"/>
      <c r="D32" s="874"/>
      <c r="E32" s="874"/>
      <c r="F32" s="874"/>
      <c r="G32" s="874"/>
      <c r="H32" s="874"/>
      <c r="I32" s="874"/>
      <c r="J32" s="874"/>
      <c r="K32" s="874"/>
      <c r="L32" s="874"/>
      <c r="M32" s="874"/>
      <c r="N32" s="874"/>
      <c r="O32" s="874"/>
      <c r="P32" s="874"/>
      <c r="Q32" s="874"/>
      <c r="R32" s="874"/>
      <c r="S32" s="874"/>
      <c r="T32" s="874"/>
      <c r="U32" s="874"/>
      <c r="V32" s="874"/>
      <c r="W32" s="874"/>
      <c r="X32" s="874"/>
      <c r="Y32" s="874"/>
      <c r="Z32" s="874"/>
      <c r="AA32" s="874"/>
    </row>
    <row r="33" spans="2:27" x14ac:dyDescent="0.25">
      <c r="B33" s="874"/>
      <c r="C33" s="874"/>
      <c r="D33" s="874"/>
      <c r="E33" s="874"/>
      <c r="F33" s="874"/>
      <c r="G33" s="874"/>
      <c r="H33" s="874"/>
      <c r="I33" s="874"/>
      <c r="J33" s="874"/>
      <c r="K33" s="874"/>
      <c r="L33" s="874"/>
      <c r="M33" s="874"/>
      <c r="N33" s="874"/>
      <c r="O33" s="874"/>
      <c r="P33" s="874"/>
      <c r="Q33" s="874"/>
      <c r="R33" s="874"/>
      <c r="S33" s="874"/>
      <c r="T33" s="874"/>
      <c r="U33" s="874"/>
      <c r="V33" s="874"/>
      <c r="W33" s="874"/>
      <c r="X33" s="874"/>
      <c r="Y33" s="874"/>
      <c r="Z33" s="874"/>
      <c r="AA33" s="874"/>
    </row>
    <row r="34" spans="2:27" x14ac:dyDescent="0.25">
      <c r="B34" s="874"/>
      <c r="C34" s="874"/>
      <c r="D34" s="874"/>
      <c r="E34" s="874"/>
      <c r="F34" s="874"/>
      <c r="G34" s="874"/>
      <c r="H34" s="874"/>
      <c r="I34" s="874"/>
      <c r="J34" s="874"/>
      <c r="K34" s="874"/>
      <c r="L34" s="874"/>
      <c r="M34" s="874"/>
      <c r="N34" s="874"/>
      <c r="O34" s="874"/>
      <c r="P34" s="874"/>
      <c r="Q34" s="874"/>
      <c r="R34" s="874"/>
      <c r="S34" s="874"/>
      <c r="T34" s="874"/>
      <c r="U34" s="874"/>
      <c r="V34" s="874"/>
      <c r="W34" s="874"/>
      <c r="X34" s="874"/>
      <c r="Y34" s="874"/>
      <c r="Z34" s="874"/>
      <c r="AA34" s="874"/>
    </row>
  </sheetData>
  <mergeCells count="4">
    <mergeCell ref="A1:H1"/>
    <mergeCell ref="A2:H2"/>
    <mergeCell ref="A3:H3"/>
    <mergeCell ref="A4:H4"/>
  </mergeCells>
  <pageMargins left="0.75" right="0.75" top="0.79" bottom="0.79" header="0.3" footer="0.3"/>
  <pageSetup paperSize="9" orientation="landscape" useFirstPageNumber="1" horizontalDpi="65532"/>
  <headerFooter>
    <oddFooter>&amp;CTrang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0ADAB-581C-4E43-8E2C-B3DA0D03C001}">
  <dimension ref="A1:AH219"/>
  <sheetViews>
    <sheetView topLeftCell="B1" workbookViewId="0">
      <selection activeCell="B15" sqref="B15:H15"/>
    </sheetView>
  </sheetViews>
  <sheetFormatPr defaultColWidth="9.140625" defaultRowHeight="10.5" x14ac:dyDescent="0.25"/>
  <cols>
    <col min="1" max="1" width="2.7109375" style="916" hidden="1" customWidth="1"/>
    <col min="2" max="2" width="7.5703125" style="1078" customWidth="1"/>
    <col min="3" max="3" width="35.85546875" style="1079" customWidth="1"/>
    <col min="4" max="4" width="10.140625" style="1078" customWidth="1"/>
    <col min="5" max="5" width="24.7109375" style="1079" customWidth="1"/>
    <col min="6" max="6" width="19.28515625" style="1080" customWidth="1"/>
    <col min="7" max="7" width="16.140625" style="1080" customWidth="1"/>
    <col min="8" max="8" width="15.7109375" style="1080" customWidth="1"/>
    <col min="9" max="11" width="0" style="1080" hidden="1" customWidth="1"/>
    <col min="12" max="12" width="20.28515625" style="1080" customWidth="1"/>
    <col min="13" max="13" width="20.5703125" style="1080" customWidth="1"/>
    <col min="14" max="14" width="19.85546875" style="924" customWidth="1"/>
    <col min="15" max="16" width="9.140625" style="916"/>
    <col min="17" max="17" width="24.5703125" style="916" customWidth="1"/>
    <col min="18" max="18" width="29.42578125" style="916" customWidth="1"/>
    <col min="19" max="19" width="16.7109375" style="916" customWidth="1"/>
    <col min="20" max="256" width="9.140625" style="916"/>
    <col min="257" max="257" width="0" style="916" hidden="1" customWidth="1"/>
    <col min="258" max="258" width="7.5703125" style="916" customWidth="1"/>
    <col min="259" max="259" width="39.42578125" style="916" customWidth="1"/>
    <col min="260" max="260" width="12.28515625" style="916" customWidth="1"/>
    <col min="261" max="261" width="30.28515625" style="916" customWidth="1"/>
    <col min="262" max="262" width="21.28515625" style="916" customWidth="1"/>
    <col min="263" max="263" width="18.7109375" style="916" customWidth="1"/>
    <col min="264" max="264" width="21" style="916" customWidth="1"/>
    <col min="265" max="267" width="0" style="916" hidden="1" customWidth="1"/>
    <col min="268" max="268" width="20.28515625" style="916" customWidth="1"/>
    <col min="269" max="269" width="20.5703125" style="916" customWidth="1"/>
    <col min="270" max="270" width="19.85546875" style="916" customWidth="1"/>
    <col min="271" max="272" width="9.140625" style="916"/>
    <col min="273" max="273" width="24.5703125" style="916" customWidth="1"/>
    <col min="274" max="274" width="29.42578125" style="916" customWidth="1"/>
    <col min="275" max="275" width="16.7109375" style="916" customWidth="1"/>
    <col min="276" max="512" width="9.140625" style="916"/>
    <col min="513" max="513" width="0" style="916" hidden="1" customWidth="1"/>
    <col min="514" max="514" width="7.5703125" style="916" customWidth="1"/>
    <col min="515" max="515" width="39.42578125" style="916" customWidth="1"/>
    <col min="516" max="516" width="12.28515625" style="916" customWidth="1"/>
    <col min="517" max="517" width="30.28515625" style="916" customWidth="1"/>
    <col min="518" max="518" width="21.28515625" style="916" customWidth="1"/>
    <col min="519" max="519" width="18.7109375" style="916" customWidth="1"/>
    <col min="520" max="520" width="21" style="916" customWidth="1"/>
    <col min="521" max="523" width="0" style="916" hidden="1" customWidth="1"/>
    <col min="524" max="524" width="20.28515625" style="916" customWidth="1"/>
    <col min="525" max="525" width="20.5703125" style="916" customWidth="1"/>
    <col min="526" max="526" width="19.85546875" style="916" customWidth="1"/>
    <col min="527" max="528" width="9.140625" style="916"/>
    <col min="529" max="529" width="24.5703125" style="916" customWidth="1"/>
    <col min="530" max="530" width="29.42578125" style="916" customWidth="1"/>
    <col min="531" max="531" width="16.7109375" style="916" customWidth="1"/>
    <col min="532" max="768" width="9.140625" style="916"/>
    <col min="769" max="769" width="0" style="916" hidden="1" customWidth="1"/>
    <col min="770" max="770" width="7.5703125" style="916" customWidth="1"/>
    <col min="771" max="771" width="39.42578125" style="916" customWidth="1"/>
    <col min="772" max="772" width="12.28515625" style="916" customWidth="1"/>
    <col min="773" max="773" width="30.28515625" style="916" customWidth="1"/>
    <col min="774" max="774" width="21.28515625" style="916" customWidth="1"/>
    <col min="775" max="775" width="18.7109375" style="916" customWidth="1"/>
    <col min="776" max="776" width="21" style="916" customWidth="1"/>
    <col min="777" max="779" width="0" style="916" hidden="1" customWidth="1"/>
    <col min="780" max="780" width="20.28515625" style="916" customWidth="1"/>
    <col min="781" max="781" width="20.5703125" style="916" customWidth="1"/>
    <col min="782" max="782" width="19.85546875" style="916" customWidth="1"/>
    <col min="783" max="784" width="9.140625" style="916"/>
    <col min="785" max="785" width="24.5703125" style="916" customWidth="1"/>
    <col min="786" max="786" width="29.42578125" style="916" customWidth="1"/>
    <col min="787" max="787" width="16.7109375" style="916" customWidth="1"/>
    <col min="788" max="1024" width="9.140625" style="916"/>
    <col min="1025" max="1025" width="0" style="916" hidden="1" customWidth="1"/>
    <col min="1026" max="1026" width="7.5703125" style="916" customWidth="1"/>
    <col min="1027" max="1027" width="39.42578125" style="916" customWidth="1"/>
    <col min="1028" max="1028" width="12.28515625" style="916" customWidth="1"/>
    <col min="1029" max="1029" width="30.28515625" style="916" customWidth="1"/>
    <col min="1030" max="1030" width="21.28515625" style="916" customWidth="1"/>
    <col min="1031" max="1031" width="18.7109375" style="916" customWidth="1"/>
    <col min="1032" max="1032" width="21" style="916" customWidth="1"/>
    <col min="1033" max="1035" width="0" style="916" hidden="1" customWidth="1"/>
    <col min="1036" max="1036" width="20.28515625" style="916" customWidth="1"/>
    <col min="1037" max="1037" width="20.5703125" style="916" customWidth="1"/>
    <col min="1038" max="1038" width="19.85546875" style="916" customWidth="1"/>
    <col min="1039" max="1040" width="9.140625" style="916"/>
    <col min="1041" max="1041" width="24.5703125" style="916" customWidth="1"/>
    <col min="1042" max="1042" width="29.42578125" style="916" customWidth="1"/>
    <col min="1043" max="1043" width="16.7109375" style="916" customWidth="1"/>
    <col min="1044" max="1280" width="9.140625" style="916"/>
    <col min="1281" max="1281" width="0" style="916" hidden="1" customWidth="1"/>
    <col min="1282" max="1282" width="7.5703125" style="916" customWidth="1"/>
    <col min="1283" max="1283" width="39.42578125" style="916" customWidth="1"/>
    <col min="1284" max="1284" width="12.28515625" style="916" customWidth="1"/>
    <col min="1285" max="1285" width="30.28515625" style="916" customWidth="1"/>
    <col min="1286" max="1286" width="21.28515625" style="916" customWidth="1"/>
    <col min="1287" max="1287" width="18.7109375" style="916" customWidth="1"/>
    <col min="1288" max="1288" width="21" style="916" customWidth="1"/>
    <col min="1289" max="1291" width="0" style="916" hidden="1" customWidth="1"/>
    <col min="1292" max="1292" width="20.28515625" style="916" customWidth="1"/>
    <col min="1293" max="1293" width="20.5703125" style="916" customWidth="1"/>
    <col min="1294" max="1294" width="19.85546875" style="916" customWidth="1"/>
    <col min="1295" max="1296" width="9.140625" style="916"/>
    <col min="1297" max="1297" width="24.5703125" style="916" customWidth="1"/>
    <col min="1298" max="1298" width="29.42578125" style="916" customWidth="1"/>
    <col min="1299" max="1299" width="16.7109375" style="916" customWidth="1"/>
    <col min="1300" max="1536" width="9.140625" style="916"/>
    <col min="1537" max="1537" width="0" style="916" hidden="1" customWidth="1"/>
    <col min="1538" max="1538" width="7.5703125" style="916" customWidth="1"/>
    <col min="1539" max="1539" width="39.42578125" style="916" customWidth="1"/>
    <col min="1540" max="1540" width="12.28515625" style="916" customWidth="1"/>
    <col min="1541" max="1541" width="30.28515625" style="916" customWidth="1"/>
    <col min="1542" max="1542" width="21.28515625" style="916" customWidth="1"/>
    <col min="1543" max="1543" width="18.7109375" style="916" customWidth="1"/>
    <col min="1544" max="1544" width="21" style="916" customWidth="1"/>
    <col min="1545" max="1547" width="0" style="916" hidden="1" customWidth="1"/>
    <col min="1548" max="1548" width="20.28515625" style="916" customWidth="1"/>
    <col min="1549" max="1549" width="20.5703125" style="916" customWidth="1"/>
    <col min="1550" max="1550" width="19.85546875" style="916" customWidth="1"/>
    <col min="1551" max="1552" width="9.140625" style="916"/>
    <col min="1553" max="1553" width="24.5703125" style="916" customWidth="1"/>
    <col min="1554" max="1554" width="29.42578125" style="916" customWidth="1"/>
    <col min="1555" max="1555" width="16.7109375" style="916" customWidth="1"/>
    <col min="1556" max="1792" width="9.140625" style="916"/>
    <col min="1793" max="1793" width="0" style="916" hidden="1" customWidth="1"/>
    <col min="1794" max="1794" width="7.5703125" style="916" customWidth="1"/>
    <col min="1795" max="1795" width="39.42578125" style="916" customWidth="1"/>
    <col min="1796" max="1796" width="12.28515625" style="916" customWidth="1"/>
    <col min="1797" max="1797" width="30.28515625" style="916" customWidth="1"/>
    <col min="1798" max="1798" width="21.28515625" style="916" customWidth="1"/>
    <col min="1799" max="1799" width="18.7109375" style="916" customWidth="1"/>
    <col min="1800" max="1800" width="21" style="916" customWidth="1"/>
    <col min="1801" max="1803" width="0" style="916" hidden="1" customWidth="1"/>
    <col min="1804" max="1804" width="20.28515625" style="916" customWidth="1"/>
    <col min="1805" max="1805" width="20.5703125" style="916" customWidth="1"/>
    <col min="1806" max="1806" width="19.85546875" style="916" customWidth="1"/>
    <col min="1807" max="1808" width="9.140625" style="916"/>
    <col min="1809" max="1809" width="24.5703125" style="916" customWidth="1"/>
    <col min="1810" max="1810" width="29.42578125" style="916" customWidth="1"/>
    <col min="1811" max="1811" width="16.7109375" style="916" customWidth="1"/>
    <col min="1812" max="2048" width="9.140625" style="916"/>
    <col min="2049" max="2049" width="0" style="916" hidden="1" customWidth="1"/>
    <col min="2050" max="2050" width="7.5703125" style="916" customWidth="1"/>
    <col min="2051" max="2051" width="39.42578125" style="916" customWidth="1"/>
    <col min="2052" max="2052" width="12.28515625" style="916" customWidth="1"/>
    <col min="2053" max="2053" width="30.28515625" style="916" customWidth="1"/>
    <col min="2054" max="2054" width="21.28515625" style="916" customWidth="1"/>
    <col min="2055" max="2055" width="18.7109375" style="916" customWidth="1"/>
    <col min="2056" max="2056" width="21" style="916" customWidth="1"/>
    <col min="2057" max="2059" width="0" style="916" hidden="1" customWidth="1"/>
    <col min="2060" max="2060" width="20.28515625" style="916" customWidth="1"/>
    <col min="2061" max="2061" width="20.5703125" style="916" customWidth="1"/>
    <col min="2062" max="2062" width="19.85546875" style="916" customWidth="1"/>
    <col min="2063" max="2064" width="9.140625" style="916"/>
    <col min="2065" max="2065" width="24.5703125" style="916" customWidth="1"/>
    <col min="2066" max="2066" width="29.42578125" style="916" customWidth="1"/>
    <col min="2067" max="2067" width="16.7109375" style="916" customWidth="1"/>
    <col min="2068" max="2304" width="9.140625" style="916"/>
    <col min="2305" max="2305" width="0" style="916" hidden="1" customWidth="1"/>
    <col min="2306" max="2306" width="7.5703125" style="916" customWidth="1"/>
    <col min="2307" max="2307" width="39.42578125" style="916" customWidth="1"/>
    <col min="2308" max="2308" width="12.28515625" style="916" customWidth="1"/>
    <col min="2309" max="2309" width="30.28515625" style="916" customWidth="1"/>
    <col min="2310" max="2310" width="21.28515625" style="916" customWidth="1"/>
    <col min="2311" max="2311" width="18.7109375" style="916" customWidth="1"/>
    <col min="2312" max="2312" width="21" style="916" customWidth="1"/>
    <col min="2313" max="2315" width="0" style="916" hidden="1" customWidth="1"/>
    <col min="2316" max="2316" width="20.28515625" style="916" customWidth="1"/>
    <col min="2317" max="2317" width="20.5703125" style="916" customWidth="1"/>
    <col min="2318" max="2318" width="19.85546875" style="916" customWidth="1"/>
    <col min="2319" max="2320" width="9.140625" style="916"/>
    <col min="2321" max="2321" width="24.5703125" style="916" customWidth="1"/>
    <col min="2322" max="2322" width="29.42578125" style="916" customWidth="1"/>
    <col min="2323" max="2323" width="16.7109375" style="916" customWidth="1"/>
    <col min="2324" max="2560" width="9.140625" style="916"/>
    <col min="2561" max="2561" width="0" style="916" hidden="1" customWidth="1"/>
    <col min="2562" max="2562" width="7.5703125" style="916" customWidth="1"/>
    <col min="2563" max="2563" width="39.42578125" style="916" customWidth="1"/>
    <col min="2564" max="2564" width="12.28515625" style="916" customWidth="1"/>
    <col min="2565" max="2565" width="30.28515625" style="916" customWidth="1"/>
    <col min="2566" max="2566" width="21.28515625" style="916" customWidth="1"/>
    <col min="2567" max="2567" width="18.7109375" style="916" customWidth="1"/>
    <col min="2568" max="2568" width="21" style="916" customWidth="1"/>
    <col min="2569" max="2571" width="0" style="916" hidden="1" customWidth="1"/>
    <col min="2572" max="2572" width="20.28515625" style="916" customWidth="1"/>
    <col min="2573" max="2573" width="20.5703125" style="916" customWidth="1"/>
    <col min="2574" max="2574" width="19.85546875" style="916" customWidth="1"/>
    <col min="2575" max="2576" width="9.140625" style="916"/>
    <col min="2577" max="2577" width="24.5703125" style="916" customWidth="1"/>
    <col min="2578" max="2578" width="29.42578125" style="916" customWidth="1"/>
    <col min="2579" max="2579" width="16.7109375" style="916" customWidth="1"/>
    <col min="2580" max="2816" width="9.140625" style="916"/>
    <col min="2817" max="2817" width="0" style="916" hidden="1" customWidth="1"/>
    <col min="2818" max="2818" width="7.5703125" style="916" customWidth="1"/>
    <col min="2819" max="2819" width="39.42578125" style="916" customWidth="1"/>
    <col min="2820" max="2820" width="12.28515625" style="916" customWidth="1"/>
    <col min="2821" max="2821" width="30.28515625" style="916" customWidth="1"/>
    <col min="2822" max="2822" width="21.28515625" style="916" customWidth="1"/>
    <col min="2823" max="2823" width="18.7109375" style="916" customWidth="1"/>
    <col min="2824" max="2824" width="21" style="916" customWidth="1"/>
    <col min="2825" max="2827" width="0" style="916" hidden="1" customWidth="1"/>
    <col min="2828" max="2828" width="20.28515625" style="916" customWidth="1"/>
    <col min="2829" max="2829" width="20.5703125" style="916" customWidth="1"/>
    <col min="2830" max="2830" width="19.85546875" style="916" customWidth="1"/>
    <col min="2831" max="2832" width="9.140625" style="916"/>
    <col min="2833" max="2833" width="24.5703125" style="916" customWidth="1"/>
    <col min="2834" max="2834" width="29.42578125" style="916" customWidth="1"/>
    <col min="2835" max="2835" width="16.7109375" style="916" customWidth="1"/>
    <col min="2836" max="3072" width="9.140625" style="916"/>
    <col min="3073" max="3073" width="0" style="916" hidden="1" customWidth="1"/>
    <col min="3074" max="3074" width="7.5703125" style="916" customWidth="1"/>
    <col min="3075" max="3075" width="39.42578125" style="916" customWidth="1"/>
    <col min="3076" max="3076" width="12.28515625" style="916" customWidth="1"/>
    <col min="3077" max="3077" width="30.28515625" style="916" customWidth="1"/>
    <col min="3078" max="3078" width="21.28515625" style="916" customWidth="1"/>
    <col min="3079" max="3079" width="18.7109375" style="916" customWidth="1"/>
    <col min="3080" max="3080" width="21" style="916" customWidth="1"/>
    <col min="3081" max="3083" width="0" style="916" hidden="1" customWidth="1"/>
    <col min="3084" max="3084" width="20.28515625" style="916" customWidth="1"/>
    <col min="3085" max="3085" width="20.5703125" style="916" customWidth="1"/>
    <col min="3086" max="3086" width="19.85546875" style="916" customWidth="1"/>
    <col min="3087" max="3088" width="9.140625" style="916"/>
    <col min="3089" max="3089" width="24.5703125" style="916" customWidth="1"/>
    <col min="3090" max="3090" width="29.42578125" style="916" customWidth="1"/>
    <col min="3091" max="3091" width="16.7109375" style="916" customWidth="1"/>
    <col min="3092" max="3328" width="9.140625" style="916"/>
    <col min="3329" max="3329" width="0" style="916" hidden="1" customWidth="1"/>
    <col min="3330" max="3330" width="7.5703125" style="916" customWidth="1"/>
    <col min="3331" max="3331" width="39.42578125" style="916" customWidth="1"/>
    <col min="3332" max="3332" width="12.28515625" style="916" customWidth="1"/>
    <col min="3333" max="3333" width="30.28515625" style="916" customWidth="1"/>
    <col min="3334" max="3334" width="21.28515625" style="916" customWidth="1"/>
    <col min="3335" max="3335" width="18.7109375" style="916" customWidth="1"/>
    <col min="3336" max="3336" width="21" style="916" customWidth="1"/>
    <col min="3337" max="3339" width="0" style="916" hidden="1" customWidth="1"/>
    <col min="3340" max="3340" width="20.28515625" style="916" customWidth="1"/>
    <col min="3341" max="3341" width="20.5703125" style="916" customWidth="1"/>
    <col min="3342" max="3342" width="19.85546875" style="916" customWidth="1"/>
    <col min="3343" max="3344" width="9.140625" style="916"/>
    <col min="3345" max="3345" width="24.5703125" style="916" customWidth="1"/>
    <col min="3346" max="3346" width="29.42578125" style="916" customWidth="1"/>
    <col min="3347" max="3347" width="16.7109375" style="916" customWidth="1"/>
    <col min="3348" max="3584" width="9.140625" style="916"/>
    <col min="3585" max="3585" width="0" style="916" hidden="1" customWidth="1"/>
    <col min="3586" max="3586" width="7.5703125" style="916" customWidth="1"/>
    <col min="3587" max="3587" width="39.42578125" style="916" customWidth="1"/>
    <col min="3588" max="3588" width="12.28515625" style="916" customWidth="1"/>
    <col min="3589" max="3589" width="30.28515625" style="916" customWidth="1"/>
    <col min="3590" max="3590" width="21.28515625" style="916" customWidth="1"/>
    <col min="3591" max="3591" width="18.7109375" style="916" customWidth="1"/>
    <col min="3592" max="3592" width="21" style="916" customWidth="1"/>
    <col min="3593" max="3595" width="0" style="916" hidden="1" customWidth="1"/>
    <col min="3596" max="3596" width="20.28515625" style="916" customWidth="1"/>
    <col min="3597" max="3597" width="20.5703125" style="916" customWidth="1"/>
    <col min="3598" max="3598" width="19.85546875" style="916" customWidth="1"/>
    <col min="3599" max="3600" width="9.140625" style="916"/>
    <col min="3601" max="3601" width="24.5703125" style="916" customWidth="1"/>
    <col min="3602" max="3602" width="29.42578125" style="916" customWidth="1"/>
    <col min="3603" max="3603" width="16.7109375" style="916" customWidth="1"/>
    <col min="3604" max="3840" width="9.140625" style="916"/>
    <col min="3841" max="3841" width="0" style="916" hidden="1" customWidth="1"/>
    <col min="3842" max="3842" width="7.5703125" style="916" customWidth="1"/>
    <col min="3843" max="3843" width="39.42578125" style="916" customWidth="1"/>
    <col min="3844" max="3844" width="12.28515625" style="916" customWidth="1"/>
    <col min="3845" max="3845" width="30.28515625" style="916" customWidth="1"/>
    <col min="3846" max="3846" width="21.28515625" style="916" customWidth="1"/>
    <col min="3847" max="3847" width="18.7109375" style="916" customWidth="1"/>
    <col min="3848" max="3848" width="21" style="916" customWidth="1"/>
    <col min="3849" max="3851" width="0" style="916" hidden="1" customWidth="1"/>
    <col min="3852" max="3852" width="20.28515625" style="916" customWidth="1"/>
    <col min="3853" max="3853" width="20.5703125" style="916" customWidth="1"/>
    <col min="3854" max="3854" width="19.85546875" style="916" customWidth="1"/>
    <col min="3855" max="3856" width="9.140625" style="916"/>
    <col min="3857" max="3857" width="24.5703125" style="916" customWidth="1"/>
    <col min="3858" max="3858" width="29.42578125" style="916" customWidth="1"/>
    <col min="3859" max="3859" width="16.7109375" style="916" customWidth="1"/>
    <col min="3860" max="4096" width="9.140625" style="916"/>
    <col min="4097" max="4097" width="0" style="916" hidden="1" customWidth="1"/>
    <col min="4098" max="4098" width="7.5703125" style="916" customWidth="1"/>
    <col min="4099" max="4099" width="39.42578125" style="916" customWidth="1"/>
    <col min="4100" max="4100" width="12.28515625" style="916" customWidth="1"/>
    <col min="4101" max="4101" width="30.28515625" style="916" customWidth="1"/>
    <col min="4102" max="4102" width="21.28515625" style="916" customWidth="1"/>
    <col min="4103" max="4103" width="18.7109375" style="916" customWidth="1"/>
    <col min="4104" max="4104" width="21" style="916" customWidth="1"/>
    <col min="4105" max="4107" width="0" style="916" hidden="1" customWidth="1"/>
    <col min="4108" max="4108" width="20.28515625" style="916" customWidth="1"/>
    <col min="4109" max="4109" width="20.5703125" style="916" customWidth="1"/>
    <col min="4110" max="4110" width="19.85546875" style="916" customWidth="1"/>
    <col min="4111" max="4112" width="9.140625" style="916"/>
    <col min="4113" max="4113" width="24.5703125" style="916" customWidth="1"/>
    <col min="4114" max="4114" width="29.42578125" style="916" customWidth="1"/>
    <col min="4115" max="4115" width="16.7109375" style="916" customWidth="1"/>
    <col min="4116" max="4352" width="9.140625" style="916"/>
    <col min="4353" max="4353" width="0" style="916" hidden="1" customWidth="1"/>
    <col min="4354" max="4354" width="7.5703125" style="916" customWidth="1"/>
    <col min="4355" max="4355" width="39.42578125" style="916" customWidth="1"/>
    <col min="4356" max="4356" width="12.28515625" style="916" customWidth="1"/>
    <col min="4357" max="4357" width="30.28515625" style="916" customWidth="1"/>
    <col min="4358" max="4358" width="21.28515625" style="916" customWidth="1"/>
    <col min="4359" max="4359" width="18.7109375" style="916" customWidth="1"/>
    <col min="4360" max="4360" width="21" style="916" customWidth="1"/>
    <col min="4361" max="4363" width="0" style="916" hidden="1" customWidth="1"/>
    <col min="4364" max="4364" width="20.28515625" style="916" customWidth="1"/>
    <col min="4365" max="4365" width="20.5703125" style="916" customWidth="1"/>
    <col min="4366" max="4366" width="19.85546875" style="916" customWidth="1"/>
    <col min="4367" max="4368" width="9.140625" style="916"/>
    <col min="4369" max="4369" width="24.5703125" style="916" customWidth="1"/>
    <col min="4370" max="4370" width="29.42578125" style="916" customWidth="1"/>
    <col min="4371" max="4371" width="16.7109375" style="916" customWidth="1"/>
    <col min="4372" max="4608" width="9.140625" style="916"/>
    <col min="4609" max="4609" width="0" style="916" hidden="1" customWidth="1"/>
    <col min="4610" max="4610" width="7.5703125" style="916" customWidth="1"/>
    <col min="4611" max="4611" width="39.42578125" style="916" customWidth="1"/>
    <col min="4612" max="4612" width="12.28515625" style="916" customWidth="1"/>
    <col min="4613" max="4613" width="30.28515625" style="916" customWidth="1"/>
    <col min="4614" max="4614" width="21.28515625" style="916" customWidth="1"/>
    <col min="4615" max="4615" width="18.7109375" style="916" customWidth="1"/>
    <col min="4616" max="4616" width="21" style="916" customWidth="1"/>
    <col min="4617" max="4619" width="0" style="916" hidden="1" customWidth="1"/>
    <col min="4620" max="4620" width="20.28515625" style="916" customWidth="1"/>
    <col min="4621" max="4621" width="20.5703125" style="916" customWidth="1"/>
    <col min="4622" max="4622" width="19.85546875" style="916" customWidth="1"/>
    <col min="4623" max="4624" width="9.140625" style="916"/>
    <col min="4625" max="4625" width="24.5703125" style="916" customWidth="1"/>
    <col min="4626" max="4626" width="29.42578125" style="916" customWidth="1"/>
    <col min="4627" max="4627" width="16.7109375" style="916" customWidth="1"/>
    <col min="4628" max="4864" width="9.140625" style="916"/>
    <col min="4865" max="4865" width="0" style="916" hidden="1" customWidth="1"/>
    <col min="4866" max="4866" width="7.5703125" style="916" customWidth="1"/>
    <col min="4867" max="4867" width="39.42578125" style="916" customWidth="1"/>
    <col min="4868" max="4868" width="12.28515625" style="916" customWidth="1"/>
    <col min="4869" max="4869" width="30.28515625" style="916" customWidth="1"/>
    <col min="4870" max="4870" width="21.28515625" style="916" customWidth="1"/>
    <col min="4871" max="4871" width="18.7109375" style="916" customWidth="1"/>
    <col min="4872" max="4872" width="21" style="916" customWidth="1"/>
    <col min="4873" max="4875" width="0" style="916" hidden="1" customWidth="1"/>
    <col min="4876" max="4876" width="20.28515625" style="916" customWidth="1"/>
    <col min="4877" max="4877" width="20.5703125" style="916" customWidth="1"/>
    <col min="4878" max="4878" width="19.85546875" style="916" customWidth="1"/>
    <col min="4879" max="4880" width="9.140625" style="916"/>
    <col min="4881" max="4881" width="24.5703125" style="916" customWidth="1"/>
    <col min="4882" max="4882" width="29.42578125" style="916" customWidth="1"/>
    <col min="4883" max="4883" width="16.7109375" style="916" customWidth="1"/>
    <col min="4884" max="5120" width="9.140625" style="916"/>
    <col min="5121" max="5121" width="0" style="916" hidden="1" customWidth="1"/>
    <col min="5122" max="5122" width="7.5703125" style="916" customWidth="1"/>
    <col min="5123" max="5123" width="39.42578125" style="916" customWidth="1"/>
    <col min="5124" max="5124" width="12.28515625" style="916" customWidth="1"/>
    <col min="5125" max="5125" width="30.28515625" style="916" customWidth="1"/>
    <col min="5126" max="5126" width="21.28515625" style="916" customWidth="1"/>
    <col min="5127" max="5127" width="18.7109375" style="916" customWidth="1"/>
    <col min="5128" max="5128" width="21" style="916" customWidth="1"/>
    <col min="5129" max="5131" width="0" style="916" hidden="1" customWidth="1"/>
    <col min="5132" max="5132" width="20.28515625" style="916" customWidth="1"/>
    <col min="5133" max="5133" width="20.5703125" style="916" customWidth="1"/>
    <col min="5134" max="5134" width="19.85546875" style="916" customWidth="1"/>
    <col min="5135" max="5136" width="9.140625" style="916"/>
    <col min="5137" max="5137" width="24.5703125" style="916" customWidth="1"/>
    <col min="5138" max="5138" width="29.42578125" style="916" customWidth="1"/>
    <col min="5139" max="5139" width="16.7109375" style="916" customWidth="1"/>
    <col min="5140" max="5376" width="9.140625" style="916"/>
    <col min="5377" max="5377" width="0" style="916" hidden="1" customWidth="1"/>
    <col min="5378" max="5378" width="7.5703125" style="916" customWidth="1"/>
    <col min="5379" max="5379" width="39.42578125" style="916" customWidth="1"/>
    <col min="5380" max="5380" width="12.28515625" style="916" customWidth="1"/>
    <col min="5381" max="5381" width="30.28515625" style="916" customWidth="1"/>
    <col min="5382" max="5382" width="21.28515625" style="916" customWidth="1"/>
    <col min="5383" max="5383" width="18.7109375" style="916" customWidth="1"/>
    <col min="5384" max="5384" width="21" style="916" customWidth="1"/>
    <col min="5385" max="5387" width="0" style="916" hidden="1" customWidth="1"/>
    <col min="5388" max="5388" width="20.28515625" style="916" customWidth="1"/>
    <col min="5389" max="5389" width="20.5703125" style="916" customWidth="1"/>
    <col min="5390" max="5390" width="19.85546875" style="916" customWidth="1"/>
    <col min="5391" max="5392" width="9.140625" style="916"/>
    <col min="5393" max="5393" width="24.5703125" style="916" customWidth="1"/>
    <col min="5394" max="5394" width="29.42578125" style="916" customWidth="1"/>
    <col min="5395" max="5395" width="16.7109375" style="916" customWidth="1"/>
    <col min="5396" max="5632" width="9.140625" style="916"/>
    <col min="5633" max="5633" width="0" style="916" hidden="1" customWidth="1"/>
    <col min="5634" max="5634" width="7.5703125" style="916" customWidth="1"/>
    <col min="5635" max="5635" width="39.42578125" style="916" customWidth="1"/>
    <col min="5636" max="5636" width="12.28515625" style="916" customWidth="1"/>
    <col min="5637" max="5637" width="30.28515625" style="916" customWidth="1"/>
    <col min="5638" max="5638" width="21.28515625" style="916" customWidth="1"/>
    <col min="5639" max="5639" width="18.7109375" style="916" customWidth="1"/>
    <col min="5640" max="5640" width="21" style="916" customWidth="1"/>
    <col min="5641" max="5643" width="0" style="916" hidden="1" customWidth="1"/>
    <col min="5644" max="5644" width="20.28515625" style="916" customWidth="1"/>
    <col min="5645" max="5645" width="20.5703125" style="916" customWidth="1"/>
    <col min="5646" max="5646" width="19.85546875" style="916" customWidth="1"/>
    <col min="5647" max="5648" width="9.140625" style="916"/>
    <col min="5649" max="5649" width="24.5703125" style="916" customWidth="1"/>
    <col min="5650" max="5650" width="29.42578125" style="916" customWidth="1"/>
    <col min="5651" max="5651" width="16.7109375" style="916" customWidth="1"/>
    <col min="5652" max="5888" width="9.140625" style="916"/>
    <col min="5889" max="5889" width="0" style="916" hidden="1" customWidth="1"/>
    <col min="5890" max="5890" width="7.5703125" style="916" customWidth="1"/>
    <col min="5891" max="5891" width="39.42578125" style="916" customWidth="1"/>
    <col min="5892" max="5892" width="12.28515625" style="916" customWidth="1"/>
    <col min="5893" max="5893" width="30.28515625" style="916" customWidth="1"/>
    <col min="5894" max="5894" width="21.28515625" style="916" customWidth="1"/>
    <col min="5895" max="5895" width="18.7109375" style="916" customWidth="1"/>
    <col min="5896" max="5896" width="21" style="916" customWidth="1"/>
    <col min="5897" max="5899" width="0" style="916" hidden="1" customWidth="1"/>
    <col min="5900" max="5900" width="20.28515625" style="916" customWidth="1"/>
    <col min="5901" max="5901" width="20.5703125" style="916" customWidth="1"/>
    <col min="5902" max="5902" width="19.85546875" style="916" customWidth="1"/>
    <col min="5903" max="5904" width="9.140625" style="916"/>
    <col min="5905" max="5905" width="24.5703125" style="916" customWidth="1"/>
    <col min="5906" max="5906" width="29.42578125" style="916" customWidth="1"/>
    <col min="5907" max="5907" width="16.7109375" style="916" customWidth="1"/>
    <col min="5908" max="6144" width="9.140625" style="916"/>
    <col min="6145" max="6145" width="0" style="916" hidden="1" customWidth="1"/>
    <col min="6146" max="6146" width="7.5703125" style="916" customWidth="1"/>
    <col min="6147" max="6147" width="39.42578125" style="916" customWidth="1"/>
    <col min="6148" max="6148" width="12.28515625" style="916" customWidth="1"/>
    <col min="6149" max="6149" width="30.28515625" style="916" customWidth="1"/>
    <col min="6150" max="6150" width="21.28515625" style="916" customWidth="1"/>
    <col min="6151" max="6151" width="18.7109375" style="916" customWidth="1"/>
    <col min="6152" max="6152" width="21" style="916" customWidth="1"/>
    <col min="6153" max="6155" width="0" style="916" hidden="1" customWidth="1"/>
    <col min="6156" max="6156" width="20.28515625" style="916" customWidth="1"/>
    <col min="6157" max="6157" width="20.5703125" style="916" customWidth="1"/>
    <col min="6158" max="6158" width="19.85546875" style="916" customWidth="1"/>
    <col min="6159" max="6160" width="9.140625" style="916"/>
    <col min="6161" max="6161" width="24.5703125" style="916" customWidth="1"/>
    <col min="6162" max="6162" width="29.42578125" style="916" customWidth="1"/>
    <col min="6163" max="6163" width="16.7109375" style="916" customWidth="1"/>
    <col min="6164" max="6400" width="9.140625" style="916"/>
    <col min="6401" max="6401" width="0" style="916" hidden="1" customWidth="1"/>
    <col min="6402" max="6402" width="7.5703125" style="916" customWidth="1"/>
    <col min="6403" max="6403" width="39.42578125" style="916" customWidth="1"/>
    <col min="6404" max="6404" width="12.28515625" style="916" customWidth="1"/>
    <col min="6405" max="6405" width="30.28515625" style="916" customWidth="1"/>
    <col min="6406" max="6406" width="21.28515625" style="916" customWidth="1"/>
    <col min="6407" max="6407" width="18.7109375" style="916" customWidth="1"/>
    <col min="6408" max="6408" width="21" style="916" customWidth="1"/>
    <col min="6409" max="6411" width="0" style="916" hidden="1" customWidth="1"/>
    <col min="6412" max="6412" width="20.28515625" style="916" customWidth="1"/>
    <col min="6413" max="6413" width="20.5703125" style="916" customWidth="1"/>
    <col min="6414" max="6414" width="19.85546875" style="916" customWidth="1"/>
    <col min="6415" max="6416" width="9.140625" style="916"/>
    <col min="6417" max="6417" width="24.5703125" style="916" customWidth="1"/>
    <col min="6418" max="6418" width="29.42578125" style="916" customWidth="1"/>
    <col min="6419" max="6419" width="16.7109375" style="916" customWidth="1"/>
    <col min="6420" max="6656" width="9.140625" style="916"/>
    <col min="6657" max="6657" width="0" style="916" hidden="1" customWidth="1"/>
    <col min="6658" max="6658" width="7.5703125" style="916" customWidth="1"/>
    <col min="6659" max="6659" width="39.42578125" style="916" customWidth="1"/>
    <col min="6660" max="6660" width="12.28515625" style="916" customWidth="1"/>
    <col min="6661" max="6661" width="30.28515625" style="916" customWidth="1"/>
    <col min="6662" max="6662" width="21.28515625" style="916" customWidth="1"/>
    <col min="6663" max="6663" width="18.7109375" style="916" customWidth="1"/>
    <col min="6664" max="6664" width="21" style="916" customWidth="1"/>
    <col min="6665" max="6667" width="0" style="916" hidden="1" customWidth="1"/>
    <col min="6668" max="6668" width="20.28515625" style="916" customWidth="1"/>
    <col min="6669" max="6669" width="20.5703125" style="916" customWidth="1"/>
    <col min="6670" max="6670" width="19.85546875" style="916" customWidth="1"/>
    <col min="6671" max="6672" width="9.140625" style="916"/>
    <col min="6673" max="6673" width="24.5703125" style="916" customWidth="1"/>
    <col min="6674" max="6674" width="29.42578125" style="916" customWidth="1"/>
    <col min="6675" max="6675" width="16.7109375" style="916" customWidth="1"/>
    <col min="6676" max="6912" width="9.140625" style="916"/>
    <col min="6913" max="6913" width="0" style="916" hidden="1" customWidth="1"/>
    <col min="6914" max="6914" width="7.5703125" style="916" customWidth="1"/>
    <col min="6915" max="6915" width="39.42578125" style="916" customWidth="1"/>
    <col min="6916" max="6916" width="12.28515625" style="916" customWidth="1"/>
    <col min="6917" max="6917" width="30.28515625" style="916" customWidth="1"/>
    <col min="6918" max="6918" width="21.28515625" style="916" customWidth="1"/>
    <col min="6919" max="6919" width="18.7109375" style="916" customWidth="1"/>
    <col min="6920" max="6920" width="21" style="916" customWidth="1"/>
    <col min="6921" max="6923" width="0" style="916" hidden="1" customWidth="1"/>
    <col min="6924" max="6924" width="20.28515625" style="916" customWidth="1"/>
    <col min="6925" max="6925" width="20.5703125" style="916" customWidth="1"/>
    <col min="6926" max="6926" width="19.85546875" style="916" customWidth="1"/>
    <col min="6927" max="6928" width="9.140625" style="916"/>
    <col min="6929" max="6929" width="24.5703125" style="916" customWidth="1"/>
    <col min="6930" max="6930" width="29.42578125" style="916" customWidth="1"/>
    <col min="6931" max="6931" width="16.7109375" style="916" customWidth="1"/>
    <col min="6932" max="7168" width="9.140625" style="916"/>
    <col min="7169" max="7169" width="0" style="916" hidden="1" customWidth="1"/>
    <col min="7170" max="7170" width="7.5703125" style="916" customWidth="1"/>
    <col min="7171" max="7171" width="39.42578125" style="916" customWidth="1"/>
    <col min="7172" max="7172" width="12.28515625" style="916" customWidth="1"/>
    <col min="7173" max="7173" width="30.28515625" style="916" customWidth="1"/>
    <col min="7174" max="7174" width="21.28515625" style="916" customWidth="1"/>
    <col min="7175" max="7175" width="18.7109375" style="916" customWidth="1"/>
    <col min="7176" max="7176" width="21" style="916" customWidth="1"/>
    <col min="7177" max="7179" width="0" style="916" hidden="1" customWidth="1"/>
    <col min="7180" max="7180" width="20.28515625" style="916" customWidth="1"/>
    <col min="7181" max="7181" width="20.5703125" style="916" customWidth="1"/>
    <col min="7182" max="7182" width="19.85546875" style="916" customWidth="1"/>
    <col min="7183" max="7184" width="9.140625" style="916"/>
    <col min="7185" max="7185" width="24.5703125" style="916" customWidth="1"/>
    <col min="7186" max="7186" width="29.42578125" style="916" customWidth="1"/>
    <col min="7187" max="7187" width="16.7109375" style="916" customWidth="1"/>
    <col min="7188" max="7424" width="9.140625" style="916"/>
    <col min="7425" max="7425" width="0" style="916" hidden="1" customWidth="1"/>
    <col min="7426" max="7426" width="7.5703125" style="916" customWidth="1"/>
    <col min="7427" max="7427" width="39.42578125" style="916" customWidth="1"/>
    <col min="7428" max="7428" width="12.28515625" style="916" customWidth="1"/>
    <col min="7429" max="7429" width="30.28515625" style="916" customWidth="1"/>
    <col min="7430" max="7430" width="21.28515625" style="916" customWidth="1"/>
    <col min="7431" max="7431" width="18.7109375" style="916" customWidth="1"/>
    <col min="7432" max="7432" width="21" style="916" customWidth="1"/>
    <col min="7433" max="7435" width="0" style="916" hidden="1" customWidth="1"/>
    <col min="7436" max="7436" width="20.28515625" style="916" customWidth="1"/>
    <col min="7437" max="7437" width="20.5703125" style="916" customWidth="1"/>
    <col min="7438" max="7438" width="19.85546875" style="916" customWidth="1"/>
    <col min="7439" max="7440" width="9.140625" style="916"/>
    <col min="7441" max="7441" width="24.5703125" style="916" customWidth="1"/>
    <col min="7442" max="7442" width="29.42578125" style="916" customWidth="1"/>
    <col min="7443" max="7443" width="16.7109375" style="916" customWidth="1"/>
    <col min="7444" max="7680" width="9.140625" style="916"/>
    <col min="7681" max="7681" width="0" style="916" hidden="1" customWidth="1"/>
    <col min="7682" max="7682" width="7.5703125" style="916" customWidth="1"/>
    <col min="7683" max="7683" width="39.42578125" style="916" customWidth="1"/>
    <col min="7684" max="7684" width="12.28515625" style="916" customWidth="1"/>
    <col min="7685" max="7685" width="30.28515625" style="916" customWidth="1"/>
    <col min="7686" max="7686" width="21.28515625" style="916" customWidth="1"/>
    <col min="7687" max="7687" width="18.7109375" style="916" customWidth="1"/>
    <col min="7688" max="7688" width="21" style="916" customWidth="1"/>
    <col min="7689" max="7691" width="0" style="916" hidden="1" customWidth="1"/>
    <col min="7692" max="7692" width="20.28515625" style="916" customWidth="1"/>
    <col min="7693" max="7693" width="20.5703125" style="916" customWidth="1"/>
    <col min="7694" max="7694" width="19.85546875" style="916" customWidth="1"/>
    <col min="7695" max="7696" width="9.140625" style="916"/>
    <col min="7697" max="7697" width="24.5703125" style="916" customWidth="1"/>
    <col min="7698" max="7698" width="29.42578125" style="916" customWidth="1"/>
    <col min="7699" max="7699" width="16.7109375" style="916" customWidth="1"/>
    <col min="7700" max="7936" width="9.140625" style="916"/>
    <col min="7937" max="7937" width="0" style="916" hidden="1" customWidth="1"/>
    <col min="7938" max="7938" width="7.5703125" style="916" customWidth="1"/>
    <col min="7939" max="7939" width="39.42578125" style="916" customWidth="1"/>
    <col min="7940" max="7940" width="12.28515625" style="916" customWidth="1"/>
    <col min="7941" max="7941" width="30.28515625" style="916" customWidth="1"/>
    <col min="7942" max="7942" width="21.28515625" style="916" customWidth="1"/>
    <col min="7943" max="7943" width="18.7109375" style="916" customWidth="1"/>
    <col min="7944" max="7944" width="21" style="916" customWidth="1"/>
    <col min="7945" max="7947" width="0" style="916" hidden="1" customWidth="1"/>
    <col min="7948" max="7948" width="20.28515625" style="916" customWidth="1"/>
    <col min="7949" max="7949" width="20.5703125" style="916" customWidth="1"/>
    <col min="7950" max="7950" width="19.85546875" style="916" customWidth="1"/>
    <col min="7951" max="7952" width="9.140625" style="916"/>
    <col min="7953" max="7953" width="24.5703125" style="916" customWidth="1"/>
    <col min="7954" max="7954" width="29.42578125" style="916" customWidth="1"/>
    <col min="7955" max="7955" width="16.7109375" style="916" customWidth="1"/>
    <col min="7956" max="8192" width="9.140625" style="916"/>
    <col min="8193" max="8193" width="0" style="916" hidden="1" customWidth="1"/>
    <col min="8194" max="8194" width="7.5703125" style="916" customWidth="1"/>
    <col min="8195" max="8195" width="39.42578125" style="916" customWidth="1"/>
    <col min="8196" max="8196" width="12.28515625" style="916" customWidth="1"/>
    <col min="8197" max="8197" width="30.28515625" style="916" customWidth="1"/>
    <col min="8198" max="8198" width="21.28515625" style="916" customWidth="1"/>
    <col min="8199" max="8199" width="18.7109375" style="916" customWidth="1"/>
    <col min="8200" max="8200" width="21" style="916" customWidth="1"/>
    <col min="8201" max="8203" width="0" style="916" hidden="1" customWidth="1"/>
    <col min="8204" max="8204" width="20.28515625" style="916" customWidth="1"/>
    <col min="8205" max="8205" width="20.5703125" style="916" customWidth="1"/>
    <col min="8206" max="8206" width="19.85546875" style="916" customWidth="1"/>
    <col min="8207" max="8208" width="9.140625" style="916"/>
    <col min="8209" max="8209" width="24.5703125" style="916" customWidth="1"/>
    <col min="8210" max="8210" width="29.42578125" style="916" customWidth="1"/>
    <col min="8211" max="8211" width="16.7109375" style="916" customWidth="1"/>
    <col min="8212" max="8448" width="9.140625" style="916"/>
    <col min="8449" max="8449" width="0" style="916" hidden="1" customWidth="1"/>
    <col min="8450" max="8450" width="7.5703125" style="916" customWidth="1"/>
    <col min="8451" max="8451" width="39.42578125" style="916" customWidth="1"/>
    <col min="8452" max="8452" width="12.28515625" style="916" customWidth="1"/>
    <col min="8453" max="8453" width="30.28515625" style="916" customWidth="1"/>
    <col min="8454" max="8454" width="21.28515625" style="916" customWidth="1"/>
    <col min="8455" max="8455" width="18.7109375" style="916" customWidth="1"/>
    <col min="8456" max="8456" width="21" style="916" customWidth="1"/>
    <col min="8457" max="8459" width="0" style="916" hidden="1" customWidth="1"/>
    <col min="8460" max="8460" width="20.28515625" style="916" customWidth="1"/>
    <col min="8461" max="8461" width="20.5703125" style="916" customWidth="1"/>
    <col min="8462" max="8462" width="19.85546875" style="916" customWidth="1"/>
    <col min="8463" max="8464" width="9.140625" style="916"/>
    <col min="8465" max="8465" width="24.5703125" style="916" customWidth="1"/>
    <col min="8466" max="8466" width="29.42578125" style="916" customWidth="1"/>
    <col min="8467" max="8467" width="16.7109375" style="916" customWidth="1"/>
    <col min="8468" max="8704" width="9.140625" style="916"/>
    <col min="8705" max="8705" width="0" style="916" hidden="1" customWidth="1"/>
    <col min="8706" max="8706" width="7.5703125" style="916" customWidth="1"/>
    <col min="8707" max="8707" width="39.42578125" style="916" customWidth="1"/>
    <col min="8708" max="8708" width="12.28515625" style="916" customWidth="1"/>
    <col min="8709" max="8709" width="30.28515625" style="916" customWidth="1"/>
    <col min="8710" max="8710" width="21.28515625" style="916" customWidth="1"/>
    <col min="8711" max="8711" width="18.7109375" style="916" customWidth="1"/>
    <col min="8712" max="8712" width="21" style="916" customWidth="1"/>
    <col min="8713" max="8715" width="0" style="916" hidden="1" customWidth="1"/>
    <col min="8716" max="8716" width="20.28515625" style="916" customWidth="1"/>
    <col min="8717" max="8717" width="20.5703125" style="916" customWidth="1"/>
    <col min="8718" max="8718" width="19.85546875" style="916" customWidth="1"/>
    <col min="8719" max="8720" width="9.140625" style="916"/>
    <col min="8721" max="8721" width="24.5703125" style="916" customWidth="1"/>
    <col min="8722" max="8722" width="29.42578125" style="916" customWidth="1"/>
    <col min="8723" max="8723" width="16.7109375" style="916" customWidth="1"/>
    <col min="8724" max="8960" width="9.140625" style="916"/>
    <col min="8961" max="8961" width="0" style="916" hidden="1" customWidth="1"/>
    <col min="8962" max="8962" width="7.5703125" style="916" customWidth="1"/>
    <col min="8963" max="8963" width="39.42578125" style="916" customWidth="1"/>
    <col min="8964" max="8964" width="12.28515625" style="916" customWidth="1"/>
    <col min="8965" max="8965" width="30.28515625" style="916" customWidth="1"/>
    <col min="8966" max="8966" width="21.28515625" style="916" customWidth="1"/>
    <col min="8967" max="8967" width="18.7109375" style="916" customWidth="1"/>
    <col min="8968" max="8968" width="21" style="916" customWidth="1"/>
    <col min="8969" max="8971" width="0" style="916" hidden="1" customWidth="1"/>
    <col min="8972" max="8972" width="20.28515625" style="916" customWidth="1"/>
    <col min="8973" max="8973" width="20.5703125" style="916" customWidth="1"/>
    <col min="8974" max="8974" width="19.85546875" style="916" customWidth="1"/>
    <col min="8975" max="8976" width="9.140625" style="916"/>
    <col min="8977" max="8977" width="24.5703125" style="916" customWidth="1"/>
    <col min="8978" max="8978" width="29.42578125" style="916" customWidth="1"/>
    <col min="8979" max="8979" width="16.7109375" style="916" customWidth="1"/>
    <col min="8980" max="9216" width="9.140625" style="916"/>
    <col min="9217" max="9217" width="0" style="916" hidden="1" customWidth="1"/>
    <col min="9218" max="9218" width="7.5703125" style="916" customWidth="1"/>
    <col min="9219" max="9219" width="39.42578125" style="916" customWidth="1"/>
    <col min="9220" max="9220" width="12.28515625" style="916" customWidth="1"/>
    <col min="9221" max="9221" width="30.28515625" style="916" customWidth="1"/>
    <col min="9222" max="9222" width="21.28515625" style="916" customWidth="1"/>
    <col min="9223" max="9223" width="18.7109375" style="916" customWidth="1"/>
    <col min="9224" max="9224" width="21" style="916" customWidth="1"/>
    <col min="9225" max="9227" width="0" style="916" hidden="1" customWidth="1"/>
    <col min="9228" max="9228" width="20.28515625" style="916" customWidth="1"/>
    <col min="9229" max="9229" width="20.5703125" style="916" customWidth="1"/>
    <col min="9230" max="9230" width="19.85546875" style="916" customWidth="1"/>
    <col min="9231" max="9232" width="9.140625" style="916"/>
    <col min="9233" max="9233" width="24.5703125" style="916" customWidth="1"/>
    <col min="9234" max="9234" width="29.42578125" style="916" customWidth="1"/>
    <col min="9235" max="9235" width="16.7109375" style="916" customWidth="1"/>
    <col min="9236" max="9472" width="9.140625" style="916"/>
    <col min="9473" max="9473" width="0" style="916" hidden="1" customWidth="1"/>
    <col min="9474" max="9474" width="7.5703125" style="916" customWidth="1"/>
    <col min="9475" max="9475" width="39.42578125" style="916" customWidth="1"/>
    <col min="9476" max="9476" width="12.28515625" style="916" customWidth="1"/>
    <col min="9477" max="9477" width="30.28515625" style="916" customWidth="1"/>
    <col min="9478" max="9478" width="21.28515625" style="916" customWidth="1"/>
    <col min="9479" max="9479" width="18.7109375" style="916" customWidth="1"/>
    <col min="9480" max="9480" width="21" style="916" customWidth="1"/>
    <col min="9481" max="9483" width="0" style="916" hidden="1" customWidth="1"/>
    <col min="9484" max="9484" width="20.28515625" style="916" customWidth="1"/>
    <col min="9485" max="9485" width="20.5703125" style="916" customWidth="1"/>
    <col min="9486" max="9486" width="19.85546875" style="916" customWidth="1"/>
    <col min="9487" max="9488" width="9.140625" style="916"/>
    <col min="9489" max="9489" width="24.5703125" style="916" customWidth="1"/>
    <col min="9490" max="9490" width="29.42578125" style="916" customWidth="1"/>
    <col min="9491" max="9491" width="16.7109375" style="916" customWidth="1"/>
    <col min="9492" max="9728" width="9.140625" style="916"/>
    <col min="9729" max="9729" width="0" style="916" hidden="1" customWidth="1"/>
    <col min="9730" max="9730" width="7.5703125" style="916" customWidth="1"/>
    <col min="9731" max="9731" width="39.42578125" style="916" customWidth="1"/>
    <col min="9732" max="9732" width="12.28515625" style="916" customWidth="1"/>
    <col min="9733" max="9733" width="30.28515625" style="916" customWidth="1"/>
    <col min="9734" max="9734" width="21.28515625" style="916" customWidth="1"/>
    <col min="9735" max="9735" width="18.7109375" style="916" customWidth="1"/>
    <col min="9736" max="9736" width="21" style="916" customWidth="1"/>
    <col min="9737" max="9739" width="0" style="916" hidden="1" customWidth="1"/>
    <col min="9740" max="9740" width="20.28515625" style="916" customWidth="1"/>
    <col min="9741" max="9741" width="20.5703125" style="916" customWidth="1"/>
    <col min="9742" max="9742" width="19.85546875" style="916" customWidth="1"/>
    <col min="9743" max="9744" width="9.140625" style="916"/>
    <col min="9745" max="9745" width="24.5703125" style="916" customWidth="1"/>
    <col min="9746" max="9746" width="29.42578125" style="916" customWidth="1"/>
    <col min="9747" max="9747" width="16.7109375" style="916" customWidth="1"/>
    <col min="9748" max="9984" width="9.140625" style="916"/>
    <col min="9985" max="9985" width="0" style="916" hidden="1" customWidth="1"/>
    <col min="9986" max="9986" width="7.5703125" style="916" customWidth="1"/>
    <col min="9987" max="9987" width="39.42578125" style="916" customWidth="1"/>
    <col min="9988" max="9988" width="12.28515625" style="916" customWidth="1"/>
    <col min="9989" max="9989" width="30.28515625" style="916" customWidth="1"/>
    <col min="9990" max="9990" width="21.28515625" style="916" customWidth="1"/>
    <col min="9991" max="9991" width="18.7109375" style="916" customWidth="1"/>
    <col min="9992" max="9992" width="21" style="916" customWidth="1"/>
    <col min="9993" max="9995" width="0" style="916" hidden="1" customWidth="1"/>
    <col min="9996" max="9996" width="20.28515625" style="916" customWidth="1"/>
    <col min="9997" max="9997" width="20.5703125" style="916" customWidth="1"/>
    <col min="9998" max="9998" width="19.85546875" style="916" customWidth="1"/>
    <col min="9999" max="10000" width="9.140625" style="916"/>
    <col min="10001" max="10001" width="24.5703125" style="916" customWidth="1"/>
    <col min="10002" max="10002" width="29.42578125" style="916" customWidth="1"/>
    <col min="10003" max="10003" width="16.7109375" style="916" customWidth="1"/>
    <col min="10004" max="10240" width="9.140625" style="916"/>
    <col min="10241" max="10241" width="0" style="916" hidden="1" customWidth="1"/>
    <col min="10242" max="10242" width="7.5703125" style="916" customWidth="1"/>
    <col min="10243" max="10243" width="39.42578125" style="916" customWidth="1"/>
    <col min="10244" max="10244" width="12.28515625" style="916" customWidth="1"/>
    <col min="10245" max="10245" width="30.28515625" style="916" customWidth="1"/>
    <col min="10246" max="10246" width="21.28515625" style="916" customWidth="1"/>
    <col min="10247" max="10247" width="18.7109375" style="916" customWidth="1"/>
    <col min="10248" max="10248" width="21" style="916" customWidth="1"/>
    <col min="10249" max="10251" width="0" style="916" hidden="1" customWidth="1"/>
    <col min="10252" max="10252" width="20.28515625" style="916" customWidth="1"/>
    <col min="10253" max="10253" width="20.5703125" style="916" customWidth="1"/>
    <col min="10254" max="10254" width="19.85546875" style="916" customWidth="1"/>
    <col min="10255" max="10256" width="9.140625" style="916"/>
    <col min="10257" max="10257" width="24.5703125" style="916" customWidth="1"/>
    <col min="10258" max="10258" width="29.42578125" style="916" customWidth="1"/>
    <col min="10259" max="10259" width="16.7109375" style="916" customWidth="1"/>
    <col min="10260" max="10496" width="9.140625" style="916"/>
    <col min="10497" max="10497" width="0" style="916" hidden="1" customWidth="1"/>
    <col min="10498" max="10498" width="7.5703125" style="916" customWidth="1"/>
    <col min="10499" max="10499" width="39.42578125" style="916" customWidth="1"/>
    <col min="10500" max="10500" width="12.28515625" style="916" customWidth="1"/>
    <col min="10501" max="10501" width="30.28515625" style="916" customWidth="1"/>
    <col min="10502" max="10502" width="21.28515625" style="916" customWidth="1"/>
    <col min="10503" max="10503" width="18.7109375" style="916" customWidth="1"/>
    <col min="10504" max="10504" width="21" style="916" customWidth="1"/>
    <col min="10505" max="10507" width="0" style="916" hidden="1" customWidth="1"/>
    <col min="10508" max="10508" width="20.28515625" style="916" customWidth="1"/>
    <col min="10509" max="10509" width="20.5703125" style="916" customWidth="1"/>
    <col min="10510" max="10510" width="19.85546875" style="916" customWidth="1"/>
    <col min="10511" max="10512" width="9.140625" style="916"/>
    <col min="10513" max="10513" width="24.5703125" style="916" customWidth="1"/>
    <col min="10514" max="10514" width="29.42578125" style="916" customWidth="1"/>
    <col min="10515" max="10515" width="16.7109375" style="916" customWidth="1"/>
    <col min="10516" max="10752" width="9.140625" style="916"/>
    <col min="10753" max="10753" width="0" style="916" hidden="1" customWidth="1"/>
    <col min="10754" max="10754" width="7.5703125" style="916" customWidth="1"/>
    <col min="10755" max="10755" width="39.42578125" style="916" customWidth="1"/>
    <col min="10756" max="10756" width="12.28515625" style="916" customWidth="1"/>
    <col min="10757" max="10757" width="30.28515625" style="916" customWidth="1"/>
    <col min="10758" max="10758" width="21.28515625" style="916" customWidth="1"/>
    <col min="10759" max="10759" width="18.7109375" style="916" customWidth="1"/>
    <col min="10760" max="10760" width="21" style="916" customWidth="1"/>
    <col min="10761" max="10763" width="0" style="916" hidden="1" customWidth="1"/>
    <col min="10764" max="10764" width="20.28515625" style="916" customWidth="1"/>
    <col min="10765" max="10765" width="20.5703125" style="916" customWidth="1"/>
    <col min="10766" max="10766" width="19.85546875" style="916" customWidth="1"/>
    <col min="10767" max="10768" width="9.140625" style="916"/>
    <col min="10769" max="10769" width="24.5703125" style="916" customWidth="1"/>
    <col min="10770" max="10770" width="29.42578125" style="916" customWidth="1"/>
    <col min="10771" max="10771" width="16.7109375" style="916" customWidth="1"/>
    <col min="10772" max="11008" width="9.140625" style="916"/>
    <col min="11009" max="11009" width="0" style="916" hidden="1" customWidth="1"/>
    <col min="11010" max="11010" width="7.5703125" style="916" customWidth="1"/>
    <col min="11011" max="11011" width="39.42578125" style="916" customWidth="1"/>
    <col min="11012" max="11012" width="12.28515625" style="916" customWidth="1"/>
    <col min="11013" max="11013" width="30.28515625" style="916" customWidth="1"/>
    <col min="11014" max="11014" width="21.28515625" style="916" customWidth="1"/>
    <col min="11015" max="11015" width="18.7109375" style="916" customWidth="1"/>
    <col min="11016" max="11016" width="21" style="916" customWidth="1"/>
    <col min="11017" max="11019" width="0" style="916" hidden="1" customWidth="1"/>
    <col min="11020" max="11020" width="20.28515625" style="916" customWidth="1"/>
    <col min="11021" max="11021" width="20.5703125" style="916" customWidth="1"/>
    <col min="11022" max="11022" width="19.85546875" style="916" customWidth="1"/>
    <col min="11023" max="11024" width="9.140625" style="916"/>
    <col min="11025" max="11025" width="24.5703125" style="916" customWidth="1"/>
    <col min="11026" max="11026" width="29.42578125" style="916" customWidth="1"/>
    <col min="11027" max="11027" width="16.7109375" style="916" customWidth="1"/>
    <col min="11028" max="11264" width="9.140625" style="916"/>
    <col min="11265" max="11265" width="0" style="916" hidden="1" customWidth="1"/>
    <col min="11266" max="11266" width="7.5703125" style="916" customWidth="1"/>
    <col min="11267" max="11267" width="39.42578125" style="916" customWidth="1"/>
    <col min="11268" max="11268" width="12.28515625" style="916" customWidth="1"/>
    <col min="11269" max="11269" width="30.28515625" style="916" customWidth="1"/>
    <col min="11270" max="11270" width="21.28515625" style="916" customWidth="1"/>
    <col min="11271" max="11271" width="18.7109375" style="916" customWidth="1"/>
    <col min="11272" max="11272" width="21" style="916" customWidth="1"/>
    <col min="11273" max="11275" width="0" style="916" hidden="1" customWidth="1"/>
    <col min="11276" max="11276" width="20.28515625" style="916" customWidth="1"/>
    <col min="11277" max="11277" width="20.5703125" style="916" customWidth="1"/>
    <col min="11278" max="11278" width="19.85546875" style="916" customWidth="1"/>
    <col min="11279" max="11280" width="9.140625" style="916"/>
    <col min="11281" max="11281" width="24.5703125" style="916" customWidth="1"/>
    <col min="11282" max="11282" width="29.42578125" style="916" customWidth="1"/>
    <col min="11283" max="11283" width="16.7109375" style="916" customWidth="1"/>
    <col min="11284" max="11520" width="9.140625" style="916"/>
    <col min="11521" max="11521" width="0" style="916" hidden="1" customWidth="1"/>
    <col min="11522" max="11522" width="7.5703125" style="916" customWidth="1"/>
    <col min="11523" max="11523" width="39.42578125" style="916" customWidth="1"/>
    <col min="11524" max="11524" width="12.28515625" style="916" customWidth="1"/>
    <col min="11525" max="11525" width="30.28515625" style="916" customWidth="1"/>
    <col min="11526" max="11526" width="21.28515625" style="916" customWidth="1"/>
    <col min="11527" max="11527" width="18.7109375" style="916" customWidth="1"/>
    <col min="11528" max="11528" width="21" style="916" customWidth="1"/>
    <col min="11529" max="11531" width="0" style="916" hidden="1" customWidth="1"/>
    <col min="11532" max="11532" width="20.28515625" style="916" customWidth="1"/>
    <col min="11533" max="11533" width="20.5703125" style="916" customWidth="1"/>
    <col min="11534" max="11534" width="19.85546875" style="916" customWidth="1"/>
    <col min="11535" max="11536" width="9.140625" style="916"/>
    <col min="11537" max="11537" width="24.5703125" style="916" customWidth="1"/>
    <col min="11538" max="11538" width="29.42578125" style="916" customWidth="1"/>
    <col min="11539" max="11539" width="16.7109375" style="916" customWidth="1"/>
    <col min="11540" max="11776" width="9.140625" style="916"/>
    <col min="11777" max="11777" width="0" style="916" hidden="1" customWidth="1"/>
    <col min="11778" max="11778" width="7.5703125" style="916" customWidth="1"/>
    <col min="11779" max="11779" width="39.42578125" style="916" customWidth="1"/>
    <col min="11780" max="11780" width="12.28515625" style="916" customWidth="1"/>
    <col min="11781" max="11781" width="30.28515625" style="916" customWidth="1"/>
    <col min="11782" max="11782" width="21.28515625" style="916" customWidth="1"/>
    <col min="11783" max="11783" width="18.7109375" style="916" customWidth="1"/>
    <col min="11784" max="11784" width="21" style="916" customWidth="1"/>
    <col min="11785" max="11787" width="0" style="916" hidden="1" customWidth="1"/>
    <col min="11788" max="11788" width="20.28515625" style="916" customWidth="1"/>
    <col min="11789" max="11789" width="20.5703125" style="916" customWidth="1"/>
    <col min="11790" max="11790" width="19.85546875" style="916" customWidth="1"/>
    <col min="11791" max="11792" width="9.140625" style="916"/>
    <col min="11793" max="11793" width="24.5703125" style="916" customWidth="1"/>
    <col min="11794" max="11794" width="29.42578125" style="916" customWidth="1"/>
    <col min="11795" max="11795" width="16.7109375" style="916" customWidth="1"/>
    <col min="11796" max="12032" width="9.140625" style="916"/>
    <col min="12033" max="12033" width="0" style="916" hidden="1" customWidth="1"/>
    <col min="12034" max="12034" width="7.5703125" style="916" customWidth="1"/>
    <col min="12035" max="12035" width="39.42578125" style="916" customWidth="1"/>
    <col min="12036" max="12036" width="12.28515625" style="916" customWidth="1"/>
    <col min="12037" max="12037" width="30.28515625" style="916" customWidth="1"/>
    <col min="12038" max="12038" width="21.28515625" style="916" customWidth="1"/>
    <col min="12039" max="12039" width="18.7109375" style="916" customWidth="1"/>
    <col min="12040" max="12040" width="21" style="916" customWidth="1"/>
    <col min="12041" max="12043" width="0" style="916" hidden="1" customWidth="1"/>
    <col min="12044" max="12044" width="20.28515625" style="916" customWidth="1"/>
    <col min="12045" max="12045" width="20.5703125" style="916" customWidth="1"/>
    <col min="12046" max="12046" width="19.85546875" style="916" customWidth="1"/>
    <col min="12047" max="12048" width="9.140625" style="916"/>
    <col min="12049" max="12049" width="24.5703125" style="916" customWidth="1"/>
    <col min="12050" max="12050" width="29.42578125" style="916" customWidth="1"/>
    <col min="12051" max="12051" width="16.7109375" style="916" customWidth="1"/>
    <col min="12052" max="12288" width="9.140625" style="916"/>
    <col min="12289" max="12289" width="0" style="916" hidden="1" customWidth="1"/>
    <col min="12290" max="12290" width="7.5703125" style="916" customWidth="1"/>
    <col min="12291" max="12291" width="39.42578125" style="916" customWidth="1"/>
    <col min="12292" max="12292" width="12.28515625" style="916" customWidth="1"/>
    <col min="12293" max="12293" width="30.28515625" style="916" customWidth="1"/>
    <col min="12294" max="12294" width="21.28515625" style="916" customWidth="1"/>
    <col min="12295" max="12295" width="18.7109375" style="916" customWidth="1"/>
    <col min="12296" max="12296" width="21" style="916" customWidth="1"/>
    <col min="12297" max="12299" width="0" style="916" hidden="1" customWidth="1"/>
    <col min="12300" max="12300" width="20.28515625" style="916" customWidth="1"/>
    <col min="12301" max="12301" width="20.5703125" style="916" customWidth="1"/>
    <col min="12302" max="12302" width="19.85546875" style="916" customWidth="1"/>
    <col min="12303" max="12304" width="9.140625" style="916"/>
    <col min="12305" max="12305" width="24.5703125" style="916" customWidth="1"/>
    <col min="12306" max="12306" width="29.42578125" style="916" customWidth="1"/>
    <col min="12307" max="12307" width="16.7109375" style="916" customWidth="1"/>
    <col min="12308" max="12544" width="9.140625" style="916"/>
    <col min="12545" max="12545" width="0" style="916" hidden="1" customWidth="1"/>
    <col min="12546" max="12546" width="7.5703125" style="916" customWidth="1"/>
    <col min="12547" max="12547" width="39.42578125" style="916" customWidth="1"/>
    <col min="12548" max="12548" width="12.28515625" style="916" customWidth="1"/>
    <col min="12549" max="12549" width="30.28515625" style="916" customWidth="1"/>
    <col min="12550" max="12550" width="21.28515625" style="916" customWidth="1"/>
    <col min="12551" max="12551" width="18.7109375" style="916" customWidth="1"/>
    <col min="12552" max="12552" width="21" style="916" customWidth="1"/>
    <col min="12553" max="12555" width="0" style="916" hidden="1" customWidth="1"/>
    <col min="12556" max="12556" width="20.28515625" style="916" customWidth="1"/>
    <col min="12557" max="12557" width="20.5703125" style="916" customWidth="1"/>
    <col min="12558" max="12558" width="19.85546875" style="916" customWidth="1"/>
    <col min="12559" max="12560" width="9.140625" style="916"/>
    <col min="12561" max="12561" width="24.5703125" style="916" customWidth="1"/>
    <col min="12562" max="12562" width="29.42578125" style="916" customWidth="1"/>
    <col min="12563" max="12563" width="16.7109375" style="916" customWidth="1"/>
    <col min="12564" max="12800" width="9.140625" style="916"/>
    <col min="12801" max="12801" width="0" style="916" hidden="1" customWidth="1"/>
    <col min="12802" max="12802" width="7.5703125" style="916" customWidth="1"/>
    <col min="12803" max="12803" width="39.42578125" style="916" customWidth="1"/>
    <col min="12804" max="12804" width="12.28515625" style="916" customWidth="1"/>
    <col min="12805" max="12805" width="30.28515625" style="916" customWidth="1"/>
    <col min="12806" max="12806" width="21.28515625" style="916" customWidth="1"/>
    <col min="12807" max="12807" width="18.7109375" style="916" customWidth="1"/>
    <col min="12808" max="12808" width="21" style="916" customWidth="1"/>
    <col min="12809" max="12811" width="0" style="916" hidden="1" customWidth="1"/>
    <col min="12812" max="12812" width="20.28515625" style="916" customWidth="1"/>
    <col min="12813" max="12813" width="20.5703125" style="916" customWidth="1"/>
    <col min="12814" max="12814" width="19.85546875" style="916" customWidth="1"/>
    <col min="12815" max="12816" width="9.140625" style="916"/>
    <col min="12817" max="12817" width="24.5703125" style="916" customWidth="1"/>
    <col min="12818" max="12818" width="29.42578125" style="916" customWidth="1"/>
    <col min="12819" max="12819" width="16.7109375" style="916" customWidth="1"/>
    <col min="12820" max="13056" width="9.140625" style="916"/>
    <col min="13057" max="13057" width="0" style="916" hidden="1" customWidth="1"/>
    <col min="13058" max="13058" width="7.5703125" style="916" customWidth="1"/>
    <col min="13059" max="13059" width="39.42578125" style="916" customWidth="1"/>
    <col min="13060" max="13060" width="12.28515625" style="916" customWidth="1"/>
    <col min="13061" max="13061" width="30.28515625" style="916" customWidth="1"/>
    <col min="13062" max="13062" width="21.28515625" style="916" customWidth="1"/>
    <col min="13063" max="13063" width="18.7109375" style="916" customWidth="1"/>
    <col min="13064" max="13064" width="21" style="916" customWidth="1"/>
    <col min="13065" max="13067" width="0" style="916" hidden="1" customWidth="1"/>
    <col min="13068" max="13068" width="20.28515625" style="916" customWidth="1"/>
    <col min="13069" max="13069" width="20.5703125" style="916" customWidth="1"/>
    <col min="13070" max="13070" width="19.85546875" style="916" customWidth="1"/>
    <col min="13071" max="13072" width="9.140625" style="916"/>
    <col min="13073" max="13073" width="24.5703125" style="916" customWidth="1"/>
    <col min="13074" max="13074" width="29.42578125" style="916" customWidth="1"/>
    <col min="13075" max="13075" width="16.7109375" style="916" customWidth="1"/>
    <col min="13076" max="13312" width="9.140625" style="916"/>
    <col min="13313" max="13313" width="0" style="916" hidden="1" customWidth="1"/>
    <col min="13314" max="13314" width="7.5703125" style="916" customWidth="1"/>
    <col min="13315" max="13315" width="39.42578125" style="916" customWidth="1"/>
    <col min="13316" max="13316" width="12.28515625" style="916" customWidth="1"/>
    <col min="13317" max="13317" width="30.28515625" style="916" customWidth="1"/>
    <col min="13318" max="13318" width="21.28515625" style="916" customWidth="1"/>
    <col min="13319" max="13319" width="18.7109375" style="916" customWidth="1"/>
    <col min="13320" max="13320" width="21" style="916" customWidth="1"/>
    <col min="13321" max="13323" width="0" style="916" hidden="1" customWidth="1"/>
    <col min="13324" max="13324" width="20.28515625" style="916" customWidth="1"/>
    <col min="13325" max="13325" width="20.5703125" style="916" customWidth="1"/>
    <col min="13326" max="13326" width="19.85546875" style="916" customWidth="1"/>
    <col min="13327" max="13328" width="9.140625" style="916"/>
    <col min="13329" max="13329" width="24.5703125" style="916" customWidth="1"/>
    <col min="13330" max="13330" width="29.42578125" style="916" customWidth="1"/>
    <col min="13331" max="13331" width="16.7109375" style="916" customWidth="1"/>
    <col min="13332" max="13568" width="9.140625" style="916"/>
    <col min="13569" max="13569" width="0" style="916" hidden="1" customWidth="1"/>
    <col min="13570" max="13570" width="7.5703125" style="916" customWidth="1"/>
    <col min="13571" max="13571" width="39.42578125" style="916" customWidth="1"/>
    <col min="13572" max="13572" width="12.28515625" style="916" customWidth="1"/>
    <col min="13573" max="13573" width="30.28515625" style="916" customWidth="1"/>
    <col min="13574" max="13574" width="21.28515625" style="916" customWidth="1"/>
    <col min="13575" max="13575" width="18.7109375" style="916" customWidth="1"/>
    <col min="13576" max="13576" width="21" style="916" customWidth="1"/>
    <col min="13577" max="13579" width="0" style="916" hidden="1" customWidth="1"/>
    <col min="13580" max="13580" width="20.28515625" style="916" customWidth="1"/>
    <col min="13581" max="13581" width="20.5703125" style="916" customWidth="1"/>
    <col min="13582" max="13582" width="19.85546875" style="916" customWidth="1"/>
    <col min="13583" max="13584" width="9.140625" style="916"/>
    <col min="13585" max="13585" width="24.5703125" style="916" customWidth="1"/>
    <col min="13586" max="13586" width="29.42578125" style="916" customWidth="1"/>
    <col min="13587" max="13587" width="16.7109375" style="916" customWidth="1"/>
    <col min="13588" max="13824" width="9.140625" style="916"/>
    <col min="13825" max="13825" width="0" style="916" hidden="1" customWidth="1"/>
    <col min="13826" max="13826" width="7.5703125" style="916" customWidth="1"/>
    <col min="13827" max="13827" width="39.42578125" style="916" customWidth="1"/>
    <col min="13828" max="13828" width="12.28515625" style="916" customWidth="1"/>
    <col min="13829" max="13829" width="30.28515625" style="916" customWidth="1"/>
    <col min="13830" max="13830" width="21.28515625" style="916" customWidth="1"/>
    <col min="13831" max="13831" width="18.7109375" style="916" customWidth="1"/>
    <col min="13832" max="13832" width="21" style="916" customWidth="1"/>
    <col min="13833" max="13835" width="0" style="916" hidden="1" customWidth="1"/>
    <col min="13836" max="13836" width="20.28515625" style="916" customWidth="1"/>
    <col min="13837" max="13837" width="20.5703125" style="916" customWidth="1"/>
    <col min="13838" max="13838" width="19.85546875" style="916" customWidth="1"/>
    <col min="13839" max="13840" width="9.140625" style="916"/>
    <col min="13841" max="13841" width="24.5703125" style="916" customWidth="1"/>
    <col min="13842" max="13842" width="29.42578125" style="916" customWidth="1"/>
    <col min="13843" max="13843" width="16.7109375" style="916" customWidth="1"/>
    <col min="13844" max="14080" width="9.140625" style="916"/>
    <col min="14081" max="14081" width="0" style="916" hidden="1" customWidth="1"/>
    <col min="14082" max="14082" width="7.5703125" style="916" customWidth="1"/>
    <col min="14083" max="14083" width="39.42578125" style="916" customWidth="1"/>
    <col min="14084" max="14084" width="12.28515625" style="916" customWidth="1"/>
    <col min="14085" max="14085" width="30.28515625" style="916" customWidth="1"/>
    <col min="14086" max="14086" width="21.28515625" style="916" customWidth="1"/>
    <col min="14087" max="14087" width="18.7109375" style="916" customWidth="1"/>
    <col min="14088" max="14088" width="21" style="916" customWidth="1"/>
    <col min="14089" max="14091" width="0" style="916" hidden="1" customWidth="1"/>
    <col min="14092" max="14092" width="20.28515625" style="916" customWidth="1"/>
    <col min="14093" max="14093" width="20.5703125" style="916" customWidth="1"/>
    <col min="14094" max="14094" width="19.85546875" style="916" customWidth="1"/>
    <col min="14095" max="14096" width="9.140625" style="916"/>
    <col min="14097" max="14097" width="24.5703125" style="916" customWidth="1"/>
    <col min="14098" max="14098" width="29.42578125" style="916" customWidth="1"/>
    <col min="14099" max="14099" width="16.7109375" style="916" customWidth="1"/>
    <col min="14100" max="14336" width="9.140625" style="916"/>
    <col min="14337" max="14337" width="0" style="916" hidden="1" customWidth="1"/>
    <col min="14338" max="14338" width="7.5703125" style="916" customWidth="1"/>
    <col min="14339" max="14339" width="39.42578125" style="916" customWidth="1"/>
    <col min="14340" max="14340" width="12.28515625" style="916" customWidth="1"/>
    <col min="14341" max="14341" width="30.28515625" style="916" customWidth="1"/>
    <col min="14342" max="14342" width="21.28515625" style="916" customWidth="1"/>
    <col min="14343" max="14343" width="18.7109375" style="916" customWidth="1"/>
    <col min="14344" max="14344" width="21" style="916" customWidth="1"/>
    <col min="14345" max="14347" width="0" style="916" hidden="1" customWidth="1"/>
    <col min="14348" max="14348" width="20.28515625" style="916" customWidth="1"/>
    <col min="14349" max="14349" width="20.5703125" style="916" customWidth="1"/>
    <col min="14350" max="14350" width="19.85546875" style="916" customWidth="1"/>
    <col min="14351" max="14352" width="9.140625" style="916"/>
    <col min="14353" max="14353" width="24.5703125" style="916" customWidth="1"/>
    <col min="14354" max="14354" width="29.42578125" style="916" customWidth="1"/>
    <col min="14355" max="14355" width="16.7109375" style="916" customWidth="1"/>
    <col min="14356" max="14592" width="9.140625" style="916"/>
    <col min="14593" max="14593" width="0" style="916" hidden="1" customWidth="1"/>
    <col min="14594" max="14594" width="7.5703125" style="916" customWidth="1"/>
    <col min="14595" max="14595" width="39.42578125" style="916" customWidth="1"/>
    <col min="14596" max="14596" width="12.28515625" style="916" customWidth="1"/>
    <col min="14597" max="14597" width="30.28515625" style="916" customWidth="1"/>
    <col min="14598" max="14598" width="21.28515625" style="916" customWidth="1"/>
    <col min="14599" max="14599" width="18.7109375" style="916" customWidth="1"/>
    <col min="14600" max="14600" width="21" style="916" customWidth="1"/>
    <col min="14601" max="14603" width="0" style="916" hidden="1" customWidth="1"/>
    <col min="14604" max="14604" width="20.28515625" style="916" customWidth="1"/>
    <col min="14605" max="14605" width="20.5703125" style="916" customWidth="1"/>
    <col min="14606" max="14606" width="19.85546875" style="916" customWidth="1"/>
    <col min="14607" max="14608" width="9.140625" style="916"/>
    <col min="14609" max="14609" width="24.5703125" style="916" customWidth="1"/>
    <col min="14610" max="14610" width="29.42578125" style="916" customWidth="1"/>
    <col min="14611" max="14611" width="16.7109375" style="916" customWidth="1"/>
    <col min="14612" max="14848" width="9.140625" style="916"/>
    <col min="14849" max="14849" width="0" style="916" hidden="1" customWidth="1"/>
    <col min="14850" max="14850" width="7.5703125" style="916" customWidth="1"/>
    <col min="14851" max="14851" width="39.42578125" style="916" customWidth="1"/>
    <col min="14852" max="14852" width="12.28515625" style="916" customWidth="1"/>
    <col min="14853" max="14853" width="30.28515625" style="916" customWidth="1"/>
    <col min="14854" max="14854" width="21.28515625" style="916" customWidth="1"/>
    <col min="14855" max="14855" width="18.7109375" style="916" customWidth="1"/>
    <col min="14856" max="14856" width="21" style="916" customWidth="1"/>
    <col min="14857" max="14859" width="0" style="916" hidden="1" customWidth="1"/>
    <col min="14860" max="14860" width="20.28515625" style="916" customWidth="1"/>
    <col min="14861" max="14861" width="20.5703125" style="916" customWidth="1"/>
    <col min="14862" max="14862" width="19.85546875" style="916" customWidth="1"/>
    <col min="14863" max="14864" width="9.140625" style="916"/>
    <col min="14865" max="14865" width="24.5703125" style="916" customWidth="1"/>
    <col min="14866" max="14866" width="29.42578125" style="916" customWidth="1"/>
    <col min="14867" max="14867" width="16.7109375" style="916" customWidth="1"/>
    <col min="14868" max="15104" width="9.140625" style="916"/>
    <col min="15105" max="15105" width="0" style="916" hidden="1" customWidth="1"/>
    <col min="15106" max="15106" width="7.5703125" style="916" customWidth="1"/>
    <col min="15107" max="15107" width="39.42578125" style="916" customWidth="1"/>
    <col min="15108" max="15108" width="12.28515625" style="916" customWidth="1"/>
    <col min="15109" max="15109" width="30.28515625" style="916" customWidth="1"/>
    <col min="15110" max="15110" width="21.28515625" style="916" customWidth="1"/>
    <col min="15111" max="15111" width="18.7109375" style="916" customWidth="1"/>
    <col min="15112" max="15112" width="21" style="916" customWidth="1"/>
    <col min="15113" max="15115" width="0" style="916" hidden="1" customWidth="1"/>
    <col min="15116" max="15116" width="20.28515625" style="916" customWidth="1"/>
    <col min="15117" max="15117" width="20.5703125" style="916" customWidth="1"/>
    <col min="15118" max="15118" width="19.85546875" style="916" customWidth="1"/>
    <col min="15119" max="15120" width="9.140625" style="916"/>
    <col min="15121" max="15121" width="24.5703125" style="916" customWidth="1"/>
    <col min="15122" max="15122" width="29.42578125" style="916" customWidth="1"/>
    <col min="15123" max="15123" width="16.7109375" style="916" customWidth="1"/>
    <col min="15124" max="15360" width="9.140625" style="916"/>
    <col min="15361" max="15361" width="0" style="916" hidden="1" customWidth="1"/>
    <col min="15362" max="15362" width="7.5703125" style="916" customWidth="1"/>
    <col min="15363" max="15363" width="39.42578125" style="916" customWidth="1"/>
    <col min="15364" max="15364" width="12.28515625" style="916" customWidth="1"/>
    <col min="15365" max="15365" width="30.28515625" style="916" customWidth="1"/>
    <col min="15366" max="15366" width="21.28515625" style="916" customWidth="1"/>
    <col min="15367" max="15367" width="18.7109375" style="916" customWidth="1"/>
    <col min="15368" max="15368" width="21" style="916" customWidth="1"/>
    <col min="15369" max="15371" width="0" style="916" hidden="1" customWidth="1"/>
    <col min="15372" max="15372" width="20.28515625" style="916" customWidth="1"/>
    <col min="15373" max="15373" width="20.5703125" style="916" customWidth="1"/>
    <col min="15374" max="15374" width="19.85546875" style="916" customWidth="1"/>
    <col min="15375" max="15376" width="9.140625" style="916"/>
    <col min="15377" max="15377" width="24.5703125" style="916" customWidth="1"/>
    <col min="15378" max="15378" width="29.42578125" style="916" customWidth="1"/>
    <col min="15379" max="15379" width="16.7109375" style="916" customWidth="1"/>
    <col min="15380" max="15616" width="9.140625" style="916"/>
    <col min="15617" max="15617" width="0" style="916" hidden="1" customWidth="1"/>
    <col min="15618" max="15618" width="7.5703125" style="916" customWidth="1"/>
    <col min="15619" max="15619" width="39.42578125" style="916" customWidth="1"/>
    <col min="15620" max="15620" width="12.28515625" style="916" customWidth="1"/>
    <col min="15621" max="15621" width="30.28515625" style="916" customWidth="1"/>
    <col min="15622" max="15622" width="21.28515625" style="916" customWidth="1"/>
    <col min="15623" max="15623" width="18.7109375" style="916" customWidth="1"/>
    <col min="15624" max="15624" width="21" style="916" customWidth="1"/>
    <col min="15625" max="15627" width="0" style="916" hidden="1" customWidth="1"/>
    <col min="15628" max="15628" width="20.28515625" style="916" customWidth="1"/>
    <col min="15629" max="15629" width="20.5703125" style="916" customWidth="1"/>
    <col min="15630" max="15630" width="19.85546875" style="916" customWidth="1"/>
    <col min="15631" max="15632" width="9.140625" style="916"/>
    <col min="15633" max="15633" width="24.5703125" style="916" customWidth="1"/>
    <col min="15634" max="15634" width="29.42578125" style="916" customWidth="1"/>
    <col min="15635" max="15635" width="16.7109375" style="916" customWidth="1"/>
    <col min="15636" max="15872" width="9.140625" style="916"/>
    <col min="15873" max="15873" width="0" style="916" hidden="1" customWidth="1"/>
    <col min="15874" max="15874" width="7.5703125" style="916" customWidth="1"/>
    <col min="15875" max="15875" width="39.42578125" style="916" customWidth="1"/>
    <col min="15876" max="15876" width="12.28515625" style="916" customWidth="1"/>
    <col min="15877" max="15877" width="30.28515625" style="916" customWidth="1"/>
    <col min="15878" max="15878" width="21.28515625" style="916" customWidth="1"/>
    <col min="15879" max="15879" width="18.7109375" style="916" customWidth="1"/>
    <col min="15880" max="15880" width="21" style="916" customWidth="1"/>
    <col min="15881" max="15883" width="0" style="916" hidden="1" customWidth="1"/>
    <col min="15884" max="15884" width="20.28515625" style="916" customWidth="1"/>
    <col min="15885" max="15885" width="20.5703125" style="916" customWidth="1"/>
    <col min="15886" max="15886" width="19.85546875" style="916" customWidth="1"/>
    <col min="15887" max="15888" width="9.140625" style="916"/>
    <col min="15889" max="15889" width="24.5703125" style="916" customWidth="1"/>
    <col min="15890" max="15890" width="29.42578125" style="916" customWidth="1"/>
    <col min="15891" max="15891" width="16.7109375" style="916" customWidth="1"/>
    <col min="15892" max="16128" width="9.140625" style="916"/>
    <col min="16129" max="16129" width="0" style="916" hidden="1" customWidth="1"/>
    <col min="16130" max="16130" width="7.5703125" style="916" customWidth="1"/>
    <col min="16131" max="16131" width="39.42578125" style="916" customWidth="1"/>
    <col min="16132" max="16132" width="12.28515625" style="916" customWidth="1"/>
    <col min="16133" max="16133" width="30.28515625" style="916" customWidth="1"/>
    <col min="16134" max="16134" width="21.28515625" style="916" customWidth="1"/>
    <col min="16135" max="16135" width="18.7109375" style="916" customWidth="1"/>
    <col min="16136" max="16136" width="21" style="916" customWidth="1"/>
    <col min="16137" max="16139" width="0" style="916" hidden="1" customWidth="1"/>
    <col min="16140" max="16140" width="20.28515625" style="916" customWidth="1"/>
    <col min="16141" max="16141" width="20.5703125" style="916" customWidth="1"/>
    <col min="16142" max="16142" width="19.85546875" style="916" customWidth="1"/>
    <col min="16143" max="16144" width="9.140625" style="916"/>
    <col min="16145" max="16145" width="24.5703125" style="916" customWidth="1"/>
    <col min="16146" max="16146" width="29.42578125" style="916" customWidth="1"/>
    <col min="16147" max="16147" width="16.7109375" style="916" customWidth="1"/>
    <col min="16148" max="16384" width="9.140625" style="916"/>
  </cols>
  <sheetData>
    <row r="1" spans="1:31" ht="19.5" x14ac:dyDescent="0.25">
      <c r="A1" s="912" t="s">
        <v>1472</v>
      </c>
      <c r="B1" s="1165" t="s">
        <v>1473</v>
      </c>
      <c r="C1" s="1165"/>
      <c r="D1" s="1165"/>
      <c r="E1" s="1165"/>
      <c r="F1" s="1165"/>
      <c r="G1" s="1165"/>
      <c r="H1" s="1165"/>
      <c r="I1" s="1165"/>
      <c r="J1" s="1165"/>
      <c r="K1" s="1165"/>
      <c r="L1" s="913"/>
      <c r="M1" s="914"/>
      <c r="N1" s="915"/>
      <c r="AE1" s="912" t="s">
        <v>1472</v>
      </c>
    </row>
    <row r="2" spans="1:31" ht="38.25" customHeight="1" x14ac:dyDescent="0.25">
      <c r="A2" s="912"/>
      <c r="B2" s="1166" t="str">
        <f>[2]THKPHM!A2</f>
        <v>CÔNG TRÌNH: ĐƯỜNG BÊ TÔNG TUYẾN ĐƯỜNG LÀNG BÊN - LÀNG QUE, XÃ HỮU LIÊN, TỈNH LẠNG SƠN</v>
      </c>
      <c r="C2" s="1166"/>
      <c r="D2" s="1166"/>
      <c r="E2" s="1166"/>
      <c r="F2" s="1166"/>
      <c r="G2" s="1166"/>
      <c r="H2" s="1166"/>
      <c r="I2" s="1166"/>
      <c r="J2" s="1166"/>
      <c r="K2" s="1166"/>
      <c r="L2" s="917"/>
      <c r="M2" s="917"/>
      <c r="N2" s="915"/>
      <c r="AE2" s="912"/>
    </row>
    <row r="3" spans="1:31" ht="22.5" customHeight="1" x14ac:dyDescent="0.25">
      <c r="A3" s="912"/>
      <c r="B3" s="918"/>
      <c r="C3" s="919"/>
      <c r="D3" s="918"/>
      <c r="E3" s="919"/>
      <c r="F3" s="920" t="s">
        <v>1474</v>
      </c>
      <c r="G3" s="921">
        <v>0.08</v>
      </c>
      <c r="H3" s="922" t="s">
        <v>814</v>
      </c>
      <c r="I3" s="923"/>
      <c r="J3" s="923"/>
      <c r="K3" s="923"/>
      <c r="L3" s="923"/>
      <c r="M3" s="923"/>
    </row>
    <row r="4" spans="1:31" ht="15.75" x14ac:dyDescent="0.25">
      <c r="A4" s="912" t="s">
        <v>1475</v>
      </c>
      <c r="B4" s="1167" t="s">
        <v>1323</v>
      </c>
      <c r="C4" s="1167" t="s">
        <v>610</v>
      </c>
      <c r="D4" s="1167" t="s">
        <v>941</v>
      </c>
      <c r="E4" s="1167" t="s">
        <v>426</v>
      </c>
      <c r="F4" s="1168" t="s">
        <v>898</v>
      </c>
      <c r="G4" s="1168"/>
      <c r="H4" s="1168"/>
      <c r="I4" s="1168" t="s">
        <v>1476</v>
      </c>
      <c r="J4" s="1168"/>
      <c r="K4" s="1168"/>
      <c r="L4" s="926"/>
      <c r="M4" s="926"/>
      <c r="AE4" s="916" t="s">
        <v>1477</v>
      </c>
    </row>
    <row r="5" spans="1:31" ht="15.75" x14ac:dyDescent="0.25">
      <c r="A5" s="912"/>
      <c r="B5" s="1167"/>
      <c r="C5" s="1167"/>
      <c r="D5" s="1167"/>
      <c r="E5" s="1167"/>
      <c r="F5" s="925" t="s">
        <v>726</v>
      </c>
      <c r="G5" s="925" t="s">
        <v>1042</v>
      </c>
      <c r="H5" s="925" t="s">
        <v>655</v>
      </c>
      <c r="I5" s="925" t="s">
        <v>726</v>
      </c>
      <c r="J5" s="925" t="s">
        <v>1042</v>
      </c>
      <c r="K5" s="925" t="s">
        <v>655</v>
      </c>
      <c r="L5" s="926"/>
      <c r="M5" s="926"/>
      <c r="AE5" s="916" t="s">
        <v>1477</v>
      </c>
    </row>
    <row r="6" spans="1:31" s="936" customFormat="1" ht="24.75" customHeight="1" x14ac:dyDescent="0.25">
      <c r="A6" s="927" t="s">
        <v>927</v>
      </c>
      <c r="B6" s="928" t="s">
        <v>915</v>
      </c>
      <c r="C6" s="929" t="s">
        <v>1478</v>
      </c>
      <c r="D6" s="930" t="s">
        <v>927</v>
      </c>
      <c r="E6" s="930" t="s">
        <v>927</v>
      </c>
      <c r="F6" s="931">
        <f t="shared" ref="F6:K6" si="0">F7</f>
        <v>1143527183.5140195</v>
      </c>
      <c r="G6" s="931">
        <f t="shared" si="0"/>
        <v>91482174.681121558</v>
      </c>
      <c r="H6" s="932">
        <f t="shared" si="0"/>
        <v>1235009000</v>
      </c>
      <c r="I6" s="933">
        <f t="shared" si="0"/>
        <v>554090909.090909</v>
      </c>
      <c r="J6" s="933">
        <f t="shared" si="0"/>
        <v>55409090.909090906</v>
      </c>
      <c r="K6" s="933">
        <f t="shared" si="0"/>
        <v>609499999.99999988</v>
      </c>
      <c r="L6" s="934"/>
      <c r="M6" s="934">
        <f>F6*1%</f>
        <v>11435271.835140195</v>
      </c>
      <c r="N6" s="935"/>
      <c r="P6" s="937"/>
      <c r="Q6" s="937"/>
      <c r="R6" s="938"/>
      <c r="S6" s="939"/>
      <c r="AE6" s="940"/>
    </row>
    <row r="7" spans="1:31" s="936" customFormat="1" ht="25.5" customHeight="1" x14ac:dyDescent="0.25">
      <c r="A7" s="941" t="s">
        <v>208</v>
      </c>
      <c r="B7" s="942">
        <v>1</v>
      </c>
      <c r="C7" s="943" t="s">
        <v>1478</v>
      </c>
      <c r="D7" s="944" t="s">
        <v>1479</v>
      </c>
      <c r="E7" s="944" t="s">
        <v>1480</v>
      </c>
      <c r="F7" s="945">
        <f>THKPHM!F21</f>
        <v>1143527183.5140195</v>
      </c>
      <c r="G7" s="945">
        <f>F7*G3</f>
        <v>91482174.681121558</v>
      </c>
      <c r="H7" s="946">
        <f>ROUND(F7+G7,-3)</f>
        <v>1235009000</v>
      </c>
      <c r="I7" s="947">
        <f>+'[3]XD+TB'!H31/1.1</f>
        <v>554090909.090909</v>
      </c>
      <c r="J7" s="947">
        <f>I7*10%</f>
        <v>55409090.909090906</v>
      </c>
      <c r="K7" s="948">
        <f>+I7+J7</f>
        <v>609499999.99999988</v>
      </c>
      <c r="L7" s="934"/>
      <c r="M7" s="949">
        <f>F7*2.5%</f>
        <v>28588179.587850489</v>
      </c>
      <c r="N7" s="935"/>
      <c r="O7" s="950"/>
      <c r="P7" s="937"/>
      <c r="Q7" s="937"/>
      <c r="R7" s="938"/>
      <c r="S7" s="939"/>
      <c r="AE7" s="951"/>
    </row>
    <row r="8" spans="1:31" ht="22.5" customHeight="1" x14ac:dyDescent="0.25">
      <c r="A8" s="952" t="s">
        <v>43</v>
      </c>
      <c r="B8" s="953" t="s">
        <v>587</v>
      </c>
      <c r="C8" s="954" t="s">
        <v>1481</v>
      </c>
      <c r="D8" s="955" t="s">
        <v>43</v>
      </c>
      <c r="E8" s="956">
        <v>0.01</v>
      </c>
      <c r="F8" s="957">
        <f>F6*E8</f>
        <v>11435271.835140195</v>
      </c>
      <c r="G8" s="957"/>
      <c r="H8" s="957">
        <f>ROUND(F8+G8,-3)</f>
        <v>11435000</v>
      </c>
      <c r="I8" s="958">
        <f>I6*3.282%</f>
        <v>18185263.636363633</v>
      </c>
      <c r="J8" s="958">
        <f>+I8*0.1</f>
        <v>1818526.3636363633</v>
      </c>
      <c r="K8" s="958">
        <f>I8+J8</f>
        <v>20003789.999999996</v>
      </c>
      <c r="L8" s="934"/>
      <c r="M8" s="934"/>
      <c r="O8" s="959"/>
      <c r="P8" s="960"/>
      <c r="Q8" s="937"/>
      <c r="R8" s="960"/>
      <c r="S8" s="939"/>
      <c r="AE8" s="961"/>
    </row>
    <row r="9" spans="1:31" s="966" customFormat="1" ht="29.25" customHeight="1" x14ac:dyDescent="0.25">
      <c r="A9" s="952"/>
      <c r="B9" s="953" t="s">
        <v>1219</v>
      </c>
      <c r="C9" s="962" t="s">
        <v>1482</v>
      </c>
      <c r="D9" s="955" t="s">
        <v>1483</v>
      </c>
      <c r="E9" s="963" t="s">
        <v>57</v>
      </c>
      <c r="F9" s="957">
        <f>F11</f>
        <v>0</v>
      </c>
      <c r="G9" s="957"/>
      <c r="H9" s="957">
        <f>H11+H10</f>
        <v>0</v>
      </c>
      <c r="I9" s="958"/>
      <c r="J9" s="958"/>
      <c r="K9" s="958"/>
      <c r="L9" s="934"/>
      <c r="M9" s="964"/>
      <c r="N9" s="965"/>
    </row>
    <row r="10" spans="1:31" ht="29.25" customHeight="1" x14ac:dyDescent="0.25">
      <c r="A10" s="912"/>
      <c r="B10" s="942">
        <v>1</v>
      </c>
      <c r="C10" s="967" t="s">
        <v>1484</v>
      </c>
      <c r="D10" s="968" t="s">
        <v>1485</v>
      </c>
      <c r="E10" s="969" t="s">
        <v>1486</v>
      </c>
      <c r="F10" s="946"/>
      <c r="G10" s="946"/>
      <c r="H10" s="970">
        <f>ROUND(F10+G10,-3)</f>
        <v>0</v>
      </c>
      <c r="I10" s="948">
        <f>0.165%*I8</f>
        <v>30005.684999999994</v>
      </c>
      <c r="J10" s="948"/>
      <c r="K10" s="948">
        <f>I10+J10</f>
        <v>30005.684999999994</v>
      </c>
      <c r="L10" s="934"/>
      <c r="M10" s="949"/>
    </row>
    <row r="11" spans="1:31" ht="29.25" customHeight="1" x14ac:dyDescent="0.25">
      <c r="A11" s="912"/>
      <c r="B11" s="942">
        <v>2</v>
      </c>
      <c r="C11" s="967" t="s">
        <v>1487</v>
      </c>
      <c r="D11" s="968"/>
      <c r="E11" s="969" t="s">
        <v>1486</v>
      </c>
      <c r="F11" s="946"/>
      <c r="G11" s="946"/>
      <c r="H11" s="946">
        <f>F11</f>
        <v>0</v>
      </c>
      <c r="I11" s="948"/>
      <c r="J11" s="948"/>
      <c r="K11" s="948"/>
      <c r="L11" s="934"/>
      <c r="M11" s="949"/>
    </row>
    <row r="12" spans="1:31" ht="15.75" x14ac:dyDescent="0.25">
      <c r="A12" s="912" t="s">
        <v>1179</v>
      </c>
      <c r="B12" s="953" t="s">
        <v>1070</v>
      </c>
      <c r="C12" s="954" t="s">
        <v>1488</v>
      </c>
      <c r="D12" s="955" t="s">
        <v>1179</v>
      </c>
      <c r="E12" s="953" t="str">
        <f>D13</f>
        <v>Gdp1</v>
      </c>
      <c r="F12" s="957">
        <f>F13</f>
        <v>3292592.5925925924</v>
      </c>
      <c r="G12" s="957">
        <f>G13</f>
        <v>263407.40740740742</v>
      </c>
      <c r="H12" s="957">
        <f>H13</f>
        <v>3556000</v>
      </c>
      <c r="I12" s="958" t="e">
        <f>5%*(I6+I8+#REF!+#REF!)</f>
        <v>#REF!</v>
      </c>
      <c r="J12" s="958" t="e">
        <f>+I12*0.1</f>
        <v>#REF!</v>
      </c>
      <c r="K12" s="958" t="e">
        <f>+I12+J12</f>
        <v>#REF!</v>
      </c>
      <c r="L12" s="964"/>
      <c r="M12" s="971"/>
      <c r="N12" s="971"/>
      <c r="O12" s="972"/>
    </row>
    <row r="13" spans="1:31" ht="24.75" customHeight="1" x14ac:dyDescent="0.25">
      <c r="A13" s="912"/>
      <c r="B13" s="942">
        <v>1</v>
      </c>
      <c r="C13" s="973" t="s">
        <v>808</v>
      </c>
      <c r="D13" s="968" t="s">
        <v>1255</v>
      </c>
      <c r="E13" s="942" t="s">
        <v>1489</v>
      </c>
      <c r="F13" s="946">
        <f>H13/1.08</f>
        <v>3292592.5925925924</v>
      </c>
      <c r="G13" s="946">
        <f>F13*8%</f>
        <v>263407.40740740742</v>
      </c>
      <c r="H13" s="946">
        <f>M14-H6-H8-H9</f>
        <v>3556000</v>
      </c>
      <c r="I13" s="948"/>
      <c r="J13" s="948"/>
      <c r="K13" s="948"/>
      <c r="L13" s="964" t="e">
        <f>H6+H8+#REF!+H9</f>
        <v>#REF!</v>
      </c>
      <c r="M13" s="971"/>
      <c r="N13" s="971"/>
      <c r="O13" s="974"/>
    </row>
    <row r="14" spans="1:31" ht="31.5" x14ac:dyDescent="0.25">
      <c r="A14" s="912" t="s">
        <v>1490</v>
      </c>
      <c r="B14" s="953" t="s">
        <v>1475</v>
      </c>
      <c r="C14" s="954" t="s">
        <v>1491</v>
      </c>
      <c r="D14" s="955" t="s">
        <v>1490</v>
      </c>
      <c r="E14" s="953" t="s">
        <v>1492</v>
      </c>
      <c r="F14" s="975">
        <f>F6+F8+F9+F12</f>
        <v>1158255047.9417522</v>
      </c>
      <c r="G14" s="975">
        <f>G6+G12</f>
        <v>91745582.088528961</v>
      </c>
      <c r="H14" s="975">
        <f>H6+H8+H9+H12</f>
        <v>1250000000</v>
      </c>
      <c r="I14" s="976" t="e">
        <f>ROUND(I6+I8+#REF!+#REF!+I12,-3)</f>
        <v>#REF!</v>
      </c>
      <c r="J14" s="976" t="e">
        <f>ROUND(J6+J8+#REF!+#REF!+J12,-3)</f>
        <v>#REF!</v>
      </c>
      <c r="K14" s="976" t="e">
        <f>ROUND(K6+K8+#REF!+#REF!+K12,-3)</f>
        <v>#REF!</v>
      </c>
      <c r="L14" s="964" t="e">
        <f>M14-L13</f>
        <v>#REF!</v>
      </c>
      <c r="M14" s="971">
        <v>1250000000</v>
      </c>
      <c r="N14" s="971">
        <f>F14+G14</f>
        <v>1250000630.0302811</v>
      </c>
    </row>
    <row r="15" spans="1:31" ht="21.75" customHeight="1" x14ac:dyDescent="0.25">
      <c r="A15" s="912"/>
      <c r="B15" s="1170" t="s">
        <v>1493</v>
      </c>
      <c r="C15" s="1171"/>
      <c r="D15" s="1170"/>
      <c r="E15" s="1170"/>
      <c r="F15" s="1172"/>
      <c r="G15" s="1171"/>
      <c r="H15" s="1172"/>
      <c r="I15" s="977"/>
      <c r="J15" s="977"/>
      <c r="K15" s="977"/>
      <c r="L15" s="977"/>
      <c r="M15" s="977"/>
      <c r="O15" s="978"/>
    </row>
    <row r="16" spans="1:31" s="986" customFormat="1" ht="15.75" x14ac:dyDescent="0.25">
      <c r="A16" s="979"/>
      <c r="B16" s="980"/>
      <c r="C16" s="980"/>
      <c r="D16" s="980"/>
      <c r="E16" s="980"/>
      <c r="F16" s="868"/>
      <c r="G16" s="981"/>
      <c r="H16" s="982"/>
      <c r="I16" s="983"/>
      <c r="J16" s="983"/>
      <c r="K16" s="983"/>
      <c r="L16" s="983"/>
      <c r="M16" s="982">
        <f>M14-N14</f>
        <v>-630.03028106689453</v>
      </c>
      <c r="N16" s="984"/>
      <c r="O16" s="985"/>
    </row>
    <row r="17" spans="1:31" s="986" customFormat="1" ht="15.75" x14ac:dyDescent="0.25">
      <c r="A17" s="979"/>
      <c r="B17" s="1173"/>
      <c r="C17" s="1173"/>
      <c r="D17" s="1173"/>
      <c r="E17" s="1173"/>
      <c r="F17" s="987"/>
      <c r="G17" s="988"/>
      <c r="H17" s="982"/>
      <c r="I17" s="983"/>
      <c r="J17" s="983"/>
      <c r="K17" s="983"/>
      <c r="L17" s="983"/>
      <c r="M17" s="989"/>
      <c r="N17" s="984"/>
      <c r="O17" s="985"/>
    </row>
    <row r="18" spans="1:31" s="986" customFormat="1" ht="15.75" x14ac:dyDescent="0.25">
      <c r="A18" s="979"/>
      <c r="F18" s="990"/>
      <c r="G18" s="1174"/>
      <c r="H18" s="1174"/>
      <c r="I18" s="983"/>
      <c r="J18" s="983"/>
      <c r="K18" s="983"/>
      <c r="L18" s="983"/>
      <c r="M18" s="982"/>
      <c r="N18" s="984"/>
      <c r="O18" s="985"/>
    </row>
    <row r="19" spans="1:31" s="986" customFormat="1" ht="15.75" x14ac:dyDescent="0.25">
      <c r="A19" s="979"/>
      <c r="B19" s="1173"/>
      <c r="C19" s="1173"/>
      <c r="D19" s="1173"/>
      <c r="E19" s="1173"/>
      <c r="F19" s="1175"/>
      <c r="G19" s="1175"/>
      <c r="H19" s="1175"/>
      <c r="I19" s="983"/>
      <c r="J19" s="983"/>
      <c r="K19" s="983"/>
      <c r="L19" s="983"/>
      <c r="M19" s="989"/>
      <c r="N19" s="984"/>
      <c r="O19" s="985"/>
    </row>
    <row r="20" spans="1:31" s="986" customFormat="1" ht="15" customHeight="1" x14ac:dyDescent="0.25">
      <c r="A20" s="979"/>
      <c r="B20" s="1173"/>
      <c r="C20" s="1173"/>
      <c r="D20" s="1173"/>
      <c r="E20" s="1173"/>
      <c r="F20" s="1176"/>
      <c r="G20" s="1176"/>
      <c r="H20" s="1176"/>
      <c r="I20" s="988"/>
      <c r="J20" s="988"/>
      <c r="K20" s="988"/>
      <c r="L20" s="988"/>
      <c r="M20" s="988"/>
      <c r="N20" s="984"/>
      <c r="O20" s="985"/>
    </row>
    <row r="21" spans="1:31" ht="11.25" x14ac:dyDescent="0.25">
      <c r="A21" s="912"/>
      <c r="B21" s="916"/>
      <c r="C21" s="916"/>
      <c r="D21" s="916"/>
      <c r="E21" s="991"/>
      <c r="F21" s="992"/>
      <c r="G21" s="993"/>
      <c r="H21" s="993"/>
      <c r="I21" s="993"/>
      <c r="J21" s="993"/>
      <c r="K21" s="993"/>
      <c r="L21" s="993"/>
      <c r="M21" s="993"/>
    </row>
    <row r="22" spans="1:31" ht="11.25" x14ac:dyDescent="0.25">
      <c r="A22" s="912"/>
      <c r="B22" s="916"/>
      <c r="C22" s="916"/>
      <c r="D22" s="916"/>
      <c r="E22" s="991"/>
      <c r="F22" s="992"/>
      <c r="G22" s="993"/>
      <c r="H22" s="993"/>
      <c r="I22" s="993"/>
      <c r="J22" s="993"/>
      <c r="K22" s="993"/>
      <c r="L22" s="993"/>
      <c r="M22" s="993"/>
    </row>
    <row r="23" spans="1:31" ht="11.25" x14ac:dyDescent="0.25">
      <c r="A23" s="912"/>
      <c r="B23" s="916"/>
      <c r="C23" s="916"/>
      <c r="D23" s="916"/>
      <c r="E23" s="991"/>
      <c r="F23" s="993"/>
      <c r="G23" s="993"/>
      <c r="H23" s="993"/>
      <c r="I23" s="993"/>
      <c r="J23" s="993"/>
      <c r="K23" s="993"/>
      <c r="L23" s="993"/>
      <c r="M23" s="993"/>
    </row>
    <row r="24" spans="1:31" ht="12.75" x14ac:dyDescent="0.25">
      <c r="A24" s="994" t="s">
        <v>1494</v>
      </c>
      <c r="B24" s="1177"/>
      <c r="C24" s="1178"/>
      <c r="D24" s="1178"/>
      <c r="E24" s="1178"/>
      <c r="F24" s="1178"/>
      <c r="G24" s="1178"/>
      <c r="H24" s="1178"/>
      <c r="I24" s="995"/>
      <c r="J24" s="995"/>
      <c r="K24" s="995"/>
      <c r="L24" s="995"/>
      <c r="M24" s="995"/>
    </row>
    <row r="25" spans="1:31" ht="12.75" x14ac:dyDescent="0.25">
      <c r="A25" s="996" t="s">
        <v>1495</v>
      </c>
      <c r="B25" s="1179"/>
      <c r="C25" s="1179"/>
      <c r="D25" s="1179"/>
      <c r="E25" s="1179"/>
      <c r="F25" s="1179"/>
      <c r="G25" s="1179"/>
      <c r="H25" s="1179"/>
      <c r="I25" s="923"/>
      <c r="J25" s="923"/>
      <c r="K25" s="923"/>
      <c r="L25" s="923"/>
      <c r="M25" s="923"/>
      <c r="AE25" s="916" t="s">
        <v>1495</v>
      </c>
    </row>
    <row r="26" spans="1:31" x14ac:dyDescent="0.25">
      <c r="B26" s="916"/>
      <c r="C26" s="916"/>
      <c r="D26" s="916"/>
      <c r="E26" s="991"/>
      <c r="F26" s="993"/>
      <c r="G26" s="993"/>
      <c r="H26" s="993"/>
      <c r="I26" s="993"/>
      <c r="J26" s="993"/>
      <c r="K26" s="993"/>
      <c r="L26" s="993"/>
      <c r="M26" s="993"/>
    </row>
    <row r="27" spans="1:31" x14ac:dyDescent="0.25">
      <c r="B27" s="916"/>
      <c r="C27" s="916"/>
      <c r="D27" s="916"/>
      <c r="E27" s="991"/>
      <c r="F27" s="993"/>
      <c r="G27" s="993"/>
      <c r="H27" s="993"/>
      <c r="I27" s="993"/>
      <c r="J27" s="993"/>
      <c r="K27" s="993"/>
      <c r="L27" s="993"/>
      <c r="M27" s="993"/>
    </row>
    <row r="28" spans="1:31" x14ac:dyDescent="0.25">
      <c r="B28" s="916"/>
      <c r="C28" s="916"/>
      <c r="D28" s="916"/>
      <c r="E28" s="991"/>
      <c r="F28" s="993"/>
      <c r="G28" s="993"/>
      <c r="H28" s="993"/>
      <c r="I28" s="993"/>
      <c r="J28" s="993"/>
      <c r="K28" s="993"/>
      <c r="L28" s="993"/>
      <c r="M28" s="993"/>
    </row>
    <row r="29" spans="1:31" x14ac:dyDescent="0.25">
      <c r="B29" s="916"/>
      <c r="C29" s="916"/>
      <c r="D29" s="916"/>
      <c r="E29" s="991"/>
      <c r="F29" s="993"/>
      <c r="G29" s="993"/>
      <c r="H29" s="993"/>
      <c r="I29" s="993"/>
      <c r="J29" s="993"/>
      <c r="K29" s="993"/>
      <c r="L29" s="993"/>
      <c r="M29" s="993"/>
    </row>
    <row r="30" spans="1:31" x14ac:dyDescent="0.25">
      <c r="B30" s="916"/>
      <c r="C30" s="916"/>
      <c r="D30" s="916"/>
      <c r="E30" s="991"/>
      <c r="F30" s="993"/>
      <c r="G30" s="993"/>
      <c r="H30" s="993"/>
      <c r="I30" s="993"/>
      <c r="J30" s="993"/>
      <c r="K30" s="993"/>
      <c r="L30" s="993"/>
      <c r="M30" s="993"/>
    </row>
    <row r="31" spans="1:31" x14ac:dyDescent="0.25">
      <c r="B31" s="916"/>
      <c r="C31" s="916"/>
      <c r="D31" s="916"/>
      <c r="E31" s="991"/>
      <c r="F31" s="993"/>
      <c r="G31" s="993"/>
      <c r="H31" s="993"/>
      <c r="I31" s="993"/>
      <c r="J31" s="993"/>
      <c r="K31" s="993"/>
      <c r="L31" s="993"/>
      <c r="M31" s="993"/>
    </row>
    <row r="32" spans="1:31" ht="15" x14ac:dyDescent="0.2">
      <c r="B32" s="916"/>
      <c r="C32" s="997"/>
      <c r="D32" s="916"/>
      <c r="E32" s="991"/>
      <c r="F32" s="993"/>
      <c r="G32" s="993"/>
      <c r="H32" s="993"/>
      <c r="I32" s="993"/>
      <c r="J32" s="993"/>
      <c r="K32" s="993"/>
      <c r="L32" s="993"/>
      <c r="M32" s="993"/>
    </row>
    <row r="33" spans="1:34" x14ac:dyDescent="0.25">
      <c r="B33" s="916"/>
      <c r="C33" s="916"/>
      <c r="D33" s="916"/>
      <c r="E33" s="991"/>
      <c r="F33" s="993"/>
      <c r="G33" s="993"/>
      <c r="H33" s="993"/>
      <c r="I33" s="993"/>
      <c r="J33" s="993"/>
      <c r="K33" s="993"/>
      <c r="L33" s="993"/>
      <c r="M33" s="993"/>
    </row>
    <row r="34" spans="1:34" x14ac:dyDescent="0.25">
      <c r="B34" s="916"/>
      <c r="C34" s="916"/>
      <c r="D34" s="916"/>
      <c r="E34" s="991"/>
      <c r="F34" s="993"/>
      <c r="G34" s="993"/>
      <c r="H34" s="993"/>
      <c r="I34" s="993"/>
      <c r="J34" s="993"/>
      <c r="K34" s="993"/>
      <c r="L34" s="993"/>
      <c r="M34" s="993"/>
    </row>
    <row r="35" spans="1:34" x14ac:dyDescent="0.25">
      <c r="B35" s="916"/>
      <c r="C35" s="916"/>
      <c r="D35" s="916"/>
      <c r="E35" s="991"/>
      <c r="F35" s="993"/>
      <c r="G35" s="993"/>
      <c r="H35" s="993"/>
      <c r="I35" s="993"/>
      <c r="J35" s="993"/>
      <c r="K35" s="993"/>
      <c r="L35" s="993"/>
      <c r="M35" s="993"/>
    </row>
    <row r="36" spans="1:34" ht="16.5" thickBot="1" x14ac:dyDescent="0.3">
      <c r="B36" s="916"/>
      <c r="C36" s="916"/>
      <c r="D36" s="916"/>
      <c r="E36" s="998"/>
      <c r="F36" s="993"/>
      <c r="G36" s="993"/>
      <c r="H36" s="993"/>
      <c r="I36" s="993"/>
      <c r="J36" s="993"/>
      <c r="K36" s="993"/>
      <c r="L36" s="993"/>
      <c r="M36" s="993"/>
    </row>
    <row r="37" spans="1:34" ht="16.5" thickBot="1" x14ac:dyDescent="0.3">
      <c r="B37" s="916"/>
      <c r="C37" s="916"/>
      <c r="D37" s="916"/>
      <c r="E37" s="998"/>
      <c r="F37" s="993"/>
      <c r="G37" s="993"/>
      <c r="H37" s="993"/>
      <c r="I37" s="993"/>
      <c r="J37" s="993"/>
      <c r="K37" s="993"/>
      <c r="L37" s="993"/>
      <c r="M37" s="993"/>
    </row>
    <row r="38" spans="1:34" ht="16.5" thickBot="1" x14ac:dyDescent="0.3">
      <c r="B38" s="916"/>
      <c r="C38" s="916"/>
      <c r="D38" s="916"/>
      <c r="E38" s="998"/>
      <c r="F38" s="993"/>
      <c r="G38" s="993"/>
      <c r="H38" s="993"/>
      <c r="I38" s="993"/>
      <c r="J38" s="993"/>
      <c r="K38" s="993"/>
      <c r="L38" s="993"/>
      <c r="M38" s="993"/>
    </row>
    <row r="39" spans="1:34" ht="16.5" thickBot="1" x14ac:dyDescent="0.3">
      <c r="B39" s="916"/>
      <c r="C39" s="916"/>
      <c r="D39" s="916"/>
      <c r="E39" s="998"/>
      <c r="F39" s="993"/>
      <c r="G39" s="993"/>
      <c r="H39" s="993"/>
      <c r="I39" s="993"/>
      <c r="J39" s="993"/>
      <c r="K39" s="993"/>
      <c r="L39" s="993"/>
      <c r="M39" s="993"/>
    </row>
    <row r="40" spans="1:34" x14ac:dyDescent="0.25">
      <c r="B40" s="916"/>
      <c r="C40" s="916"/>
      <c r="D40" s="916"/>
      <c r="E40" s="999"/>
      <c r="F40" s="993"/>
      <c r="G40" s="993"/>
      <c r="H40" s="993"/>
      <c r="I40" s="993"/>
      <c r="J40" s="993"/>
      <c r="K40" s="993"/>
      <c r="L40" s="993"/>
      <c r="M40" s="993"/>
    </row>
    <row r="41" spans="1:34" x14ac:dyDescent="0.25">
      <c r="B41" s="916"/>
      <c r="C41" s="916"/>
      <c r="D41" s="916"/>
      <c r="E41" s="991"/>
      <c r="F41" s="993"/>
      <c r="G41" s="993"/>
      <c r="H41" s="993"/>
      <c r="I41" s="993"/>
      <c r="J41" s="993"/>
      <c r="K41" s="993"/>
      <c r="L41" s="993"/>
      <c r="M41" s="993"/>
    </row>
    <row r="42" spans="1:34" ht="11.25" x14ac:dyDescent="0.25">
      <c r="A42" s="912"/>
      <c r="B42" s="1000"/>
      <c r="C42" s="1001"/>
      <c r="D42" s="1000"/>
      <c r="E42" s="1001"/>
      <c r="F42" s="1002"/>
      <c r="G42" s="1002"/>
      <c r="H42" s="1002"/>
      <c r="I42" s="1002"/>
      <c r="J42" s="1002"/>
      <c r="K42" s="1002"/>
      <c r="L42" s="1002"/>
      <c r="M42" s="1002"/>
      <c r="AE42" s="1000"/>
    </row>
    <row r="43" spans="1:34" ht="11.25" x14ac:dyDescent="0.25">
      <c r="A43" s="912"/>
      <c r="B43" s="1000"/>
      <c r="C43" s="1001"/>
      <c r="D43" s="1000"/>
      <c r="E43" s="1001"/>
      <c r="F43" s="1002"/>
      <c r="G43" s="1002"/>
      <c r="H43" s="1002"/>
      <c r="I43" s="1002"/>
      <c r="J43" s="1002"/>
      <c r="K43" s="1002"/>
      <c r="L43" s="1002"/>
      <c r="M43" s="1002"/>
      <c r="AE43" s="1000"/>
    </row>
    <row r="44" spans="1:34" ht="11.25" x14ac:dyDescent="0.25">
      <c r="A44" s="912"/>
      <c r="B44" s="1000"/>
      <c r="C44" s="1001"/>
      <c r="D44" s="1000"/>
      <c r="E44" s="1001"/>
      <c r="F44" s="1002"/>
      <c r="G44" s="1002"/>
      <c r="H44" s="1002"/>
      <c r="I44" s="1002"/>
      <c r="J44" s="1002"/>
      <c r="K44" s="1002"/>
      <c r="L44" s="1002"/>
      <c r="M44" s="1002"/>
      <c r="AE44" s="1000"/>
    </row>
    <row r="45" spans="1:34" ht="11.25" x14ac:dyDescent="0.25">
      <c r="A45" s="912"/>
      <c r="B45" s="1000"/>
      <c r="C45" s="1001"/>
      <c r="D45" s="1000"/>
      <c r="E45" s="1001"/>
      <c r="F45" s="1002"/>
      <c r="G45" s="1002"/>
      <c r="H45" s="1002"/>
      <c r="I45" s="1002"/>
      <c r="J45" s="1002"/>
      <c r="K45" s="1002"/>
      <c r="L45" s="1002"/>
      <c r="M45" s="1002"/>
      <c r="AE45" s="1000"/>
    </row>
    <row r="46" spans="1:34" ht="11.25" x14ac:dyDescent="0.25">
      <c r="A46" s="912"/>
      <c r="B46" s="1000"/>
      <c r="C46" s="1001"/>
      <c r="D46" s="1000"/>
      <c r="E46" s="1001"/>
      <c r="F46" s="1002"/>
      <c r="G46" s="1002"/>
      <c r="H46" s="1002"/>
      <c r="I46" s="1002"/>
      <c r="J46" s="1002"/>
      <c r="K46" s="1002"/>
      <c r="L46" s="1002"/>
      <c r="M46" s="1002"/>
      <c r="AE46" s="1000"/>
    </row>
    <row r="47" spans="1:34" ht="11.25" x14ac:dyDescent="0.25">
      <c r="A47" s="912"/>
      <c r="B47" s="1000"/>
      <c r="C47" s="1001"/>
      <c r="D47" s="1000"/>
      <c r="E47" s="1001"/>
      <c r="F47" s="1002"/>
      <c r="G47" s="1002"/>
      <c r="H47" s="1002"/>
      <c r="I47" s="1002"/>
      <c r="J47" s="1002"/>
      <c r="K47" s="1002"/>
      <c r="L47" s="1002"/>
      <c r="M47" s="1002"/>
      <c r="AE47" s="1000"/>
    </row>
    <row r="48" spans="1:34" ht="11.25" x14ac:dyDescent="0.25">
      <c r="A48" s="1003"/>
      <c r="B48" s="1004"/>
      <c r="C48" s="1005"/>
      <c r="D48" s="1004"/>
      <c r="E48" s="1005"/>
      <c r="F48" s="1006"/>
      <c r="G48" s="1006"/>
      <c r="H48" s="1006"/>
      <c r="I48" s="1006"/>
      <c r="J48" s="1006"/>
      <c r="K48" s="1006"/>
      <c r="L48" s="1006"/>
      <c r="M48" s="1006"/>
      <c r="N48" s="1007"/>
      <c r="O48" s="1008"/>
      <c r="P48" s="1008"/>
      <c r="Q48" s="1008"/>
      <c r="R48" s="1008"/>
      <c r="S48" s="1008"/>
      <c r="T48" s="1008"/>
      <c r="U48" s="1008"/>
      <c r="V48" s="1008"/>
      <c r="W48" s="1008"/>
      <c r="X48" s="1008"/>
      <c r="Y48" s="1008"/>
      <c r="Z48" s="1008"/>
      <c r="AA48" s="1008"/>
      <c r="AB48" s="1008"/>
      <c r="AC48" s="1008"/>
      <c r="AD48" s="1008"/>
      <c r="AE48" s="1004"/>
      <c r="AF48" s="1008"/>
      <c r="AG48" s="1008"/>
      <c r="AH48" s="1008"/>
    </row>
    <row r="49" spans="1:34" ht="11.25" x14ac:dyDescent="0.25">
      <c r="A49" s="1003"/>
      <c r="B49" s="1004">
        <f>(F6/1000000000)</f>
        <v>1.1435271835140195</v>
      </c>
      <c r="C49" s="1005"/>
      <c r="D49" s="1004"/>
      <c r="E49" s="1005"/>
      <c r="F49" s="1006"/>
      <c r="G49" s="1006"/>
      <c r="H49" s="1006"/>
      <c r="I49" s="1006"/>
      <c r="J49" s="1006"/>
      <c r="K49" s="1006"/>
      <c r="L49" s="1006"/>
      <c r="M49" s="1006"/>
      <c r="N49" s="1007"/>
      <c r="O49" s="1008"/>
      <c r="P49" s="1008"/>
      <c r="Q49" s="1008"/>
      <c r="R49" s="1008"/>
      <c r="S49" s="1008"/>
      <c r="T49" s="1008"/>
      <c r="U49" s="1008"/>
      <c r="V49" s="1008"/>
      <c r="W49" s="1008"/>
      <c r="X49" s="1008"/>
      <c r="Y49" s="1008"/>
      <c r="Z49" s="1008"/>
      <c r="AA49" s="1008"/>
      <c r="AB49" s="1008"/>
      <c r="AC49" s="1008"/>
      <c r="AD49" s="1008"/>
      <c r="AE49" s="1004"/>
      <c r="AF49" s="1008"/>
      <c r="AG49" s="1008"/>
      <c r="AH49" s="1008"/>
    </row>
    <row r="50" spans="1:34" ht="11.25" x14ac:dyDescent="0.25">
      <c r="A50" s="1003"/>
      <c r="B50" s="1004">
        <f>(F7/1000000000)</f>
        <v>1.1435271835140195</v>
      </c>
      <c r="C50" s="1005"/>
      <c r="D50" s="1004"/>
      <c r="E50" s="1005"/>
      <c r="F50" s="1006"/>
      <c r="G50" s="1006"/>
      <c r="H50" s="1006"/>
      <c r="I50" s="1006"/>
      <c r="J50" s="1006"/>
      <c r="K50" s="1006"/>
      <c r="L50" s="1006"/>
      <c r="M50" s="1006"/>
      <c r="N50" s="1007"/>
      <c r="O50" s="1008"/>
      <c r="P50" s="1008"/>
      <c r="Q50" s="1008"/>
      <c r="R50" s="1008"/>
      <c r="S50" s="1008"/>
      <c r="T50" s="1008"/>
      <c r="U50" s="1008"/>
      <c r="V50" s="1008"/>
      <c r="W50" s="1008"/>
      <c r="X50" s="1008"/>
      <c r="Y50" s="1008"/>
      <c r="Z50" s="1008"/>
      <c r="AA50" s="1008"/>
      <c r="AB50" s="1008"/>
      <c r="AC50" s="1008"/>
      <c r="AD50" s="1008"/>
      <c r="AE50" s="1004"/>
      <c r="AF50" s="1008"/>
      <c r="AG50" s="1008"/>
      <c r="AH50" s="1008"/>
    </row>
    <row r="51" spans="1:34" ht="12.75" x14ac:dyDescent="0.2">
      <c r="A51" s="1009"/>
      <c r="B51" s="1010">
        <f>(F6+F7)/1000000000</f>
        <v>2.287054367028039</v>
      </c>
      <c r="C51" s="1011">
        <f>F6/1000000000</f>
        <v>1.1435271835140195</v>
      </c>
      <c r="D51" s="1008"/>
      <c r="E51" s="1012">
        <f>F7/1000000000</f>
        <v>1.1435271835140195</v>
      </c>
      <c r="F51" s="1011" t="e">
        <f>#REF!/10^9</f>
        <v>#REF!</v>
      </c>
      <c r="G51" s="1013"/>
      <c r="H51" s="1013"/>
      <c r="I51" s="1013"/>
      <c r="J51" s="1013"/>
      <c r="K51" s="1013"/>
      <c r="L51" s="1013"/>
      <c r="M51" s="1013"/>
      <c r="N51" s="1007"/>
      <c r="O51" s="1008"/>
      <c r="P51" s="1008"/>
      <c r="Q51" s="1008"/>
      <c r="R51" s="1008"/>
      <c r="S51" s="1008"/>
      <c r="T51" s="1008"/>
      <c r="U51" s="1014"/>
      <c r="V51" s="1008"/>
      <c r="W51" s="1008"/>
      <c r="X51" s="1008"/>
      <c r="Y51" s="1008"/>
      <c r="Z51" s="1008"/>
      <c r="AA51" s="1008"/>
      <c r="AB51" s="1008"/>
      <c r="AC51" s="1008"/>
      <c r="AD51" s="1008"/>
      <c r="AE51" s="1015"/>
      <c r="AF51" s="1008"/>
      <c r="AG51" s="1008"/>
      <c r="AH51" s="1008"/>
    </row>
    <row r="52" spans="1:34" ht="12.75" x14ac:dyDescent="0.2">
      <c r="A52" s="1180" t="s">
        <v>1496</v>
      </c>
      <c r="B52" s="1180"/>
      <c r="C52" s="1180"/>
      <c r="D52" s="1180"/>
      <c r="E52" s="1180"/>
      <c r="F52" s="1180"/>
      <c r="G52" s="1180"/>
      <c r="H52" s="1180"/>
      <c r="I52" s="1180"/>
      <c r="J52" s="1180"/>
      <c r="K52" s="1180"/>
      <c r="L52" s="1180"/>
      <c r="M52" s="1180"/>
      <c r="N52" s="1180"/>
      <c r="O52" s="1180"/>
      <c r="P52" s="1180"/>
      <c r="Q52" s="1180"/>
      <c r="R52" s="1180"/>
      <c r="S52" s="1180"/>
      <c r="T52" s="1011"/>
      <c r="U52" s="1014"/>
      <c r="V52" s="1011"/>
      <c r="W52" s="1011"/>
      <c r="X52" s="1008"/>
      <c r="Y52" s="1008"/>
      <c r="Z52" s="1008"/>
      <c r="AA52" s="1008"/>
      <c r="AB52" s="1008"/>
      <c r="AC52" s="1008"/>
      <c r="AD52" s="1008"/>
      <c r="AE52" s="1015"/>
      <c r="AF52" s="1008"/>
      <c r="AG52" s="1008"/>
      <c r="AH52" s="1008"/>
    </row>
    <row r="53" spans="1:34" ht="12.75" x14ac:dyDescent="0.2">
      <c r="A53" s="1009" t="s">
        <v>915</v>
      </c>
      <c r="B53" s="1181" t="s">
        <v>1497</v>
      </c>
      <c r="C53" s="1181"/>
      <c r="D53" s="1181"/>
      <c r="E53" s="1181"/>
      <c r="F53" s="1181"/>
      <c r="G53" s="1181"/>
      <c r="H53" s="1181"/>
      <c r="I53" s="1181"/>
      <c r="J53" s="1181"/>
      <c r="K53" s="1181"/>
      <c r="L53" s="1181"/>
      <c r="M53" s="1181"/>
      <c r="N53" s="1181"/>
      <c r="O53" s="1181"/>
      <c r="P53" s="1181"/>
      <c r="Q53" s="1181"/>
      <c r="R53" s="1181"/>
      <c r="S53" s="1181"/>
      <c r="T53" s="1181"/>
      <c r="U53" s="1014"/>
      <c r="V53" s="1011"/>
      <c r="W53" s="1011"/>
      <c r="X53" s="1008"/>
      <c r="Y53" s="1008"/>
      <c r="Z53" s="1008"/>
      <c r="AA53" s="1008"/>
      <c r="AB53" s="1008"/>
      <c r="AC53" s="1008"/>
      <c r="AD53" s="1008"/>
      <c r="AE53" s="1015"/>
      <c r="AF53" s="1008"/>
      <c r="AG53" s="1008"/>
      <c r="AH53" s="1008"/>
    </row>
    <row r="54" spans="1:34" ht="12.75" x14ac:dyDescent="0.2">
      <c r="A54" s="1009"/>
      <c r="B54" s="1017"/>
      <c r="C54" s="1018"/>
      <c r="D54" s="1018"/>
      <c r="E54" s="1019"/>
      <c r="F54" s="1011"/>
      <c r="G54" s="1018"/>
      <c r="H54" s="1013"/>
      <c r="I54" s="1013"/>
      <c r="J54" s="1013"/>
      <c r="K54" s="1013"/>
      <c r="L54" s="1013"/>
      <c r="M54" s="1013"/>
      <c r="N54" s="1007"/>
      <c r="O54" s="1008"/>
      <c r="P54" s="1008"/>
      <c r="Q54" s="1008"/>
      <c r="R54" s="1011"/>
      <c r="S54" s="1011"/>
      <c r="T54" s="1011"/>
      <c r="U54" s="1014"/>
      <c r="V54" s="1011"/>
      <c r="W54" s="1011"/>
      <c r="X54" s="1008"/>
      <c r="Y54" s="1008"/>
      <c r="Z54" s="1008"/>
      <c r="AA54" s="1008"/>
      <c r="AB54" s="1008"/>
      <c r="AC54" s="1008"/>
      <c r="AD54" s="1008"/>
      <c r="AE54" s="1015"/>
      <c r="AF54" s="1008"/>
      <c r="AG54" s="1008"/>
      <c r="AH54" s="1008"/>
    </row>
    <row r="55" spans="1:34" ht="12.75" x14ac:dyDescent="0.2">
      <c r="A55" s="1009">
        <v>1</v>
      </c>
      <c r="B55" s="1182" t="s">
        <v>1498</v>
      </c>
      <c r="C55" s="1182"/>
      <c r="D55" s="1182"/>
      <c r="E55" s="1182"/>
      <c r="F55" s="1182"/>
      <c r="G55" s="1182"/>
      <c r="H55" s="1182"/>
      <c r="I55" s="1182"/>
      <c r="J55" s="1182"/>
      <c r="K55" s="1182"/>
      <c r="L55" s="1182"/>
      <c r="M55" s="1182"/>
      <c r="N55" s="1182"/>
      <c r="O55" s="1182"/>
      <c r="P55" s="1182"/>
      <c r="Q55" s="1182"/>
      <c r="R55" s="1182"/>
      <c r="S55" s="1182"/>
      <c r="T55" s="1182"/>
      <c r="U55" s="1014"/>
      <c r="V55" s="1011"/>
      <c r="W55" s="1011"/>
      <c r="X55" s="1008"/>
      <c r="Y55" s="1008"/>
      <c r="Z55" s="1008"/>
      <c r="AA55" s="1008"/>
      <c r="AB55" s="1008"/>
      <c r="AC55" s="1008"/>
      <c r="AD55" s="1008"/>
      <c r="AE55" s="1015"/>
      <c r="AF55" s="1008"/>
      <c r="AG55" s="1008"/>
      <c r="AH55" s="1008"/>
    </row>
    <row r="56" spans="1:34" ht="12.75" x14ac:dyDescent="0.2">
      <c r="A56" s="1009"/>
      <c r="B56" s="1169" t="s">
        <v>589</v>
      </c>
      <c r="C56" s="1020" t="s">
        <v>1499</v>
      </c>
      <c r="D56" s="1020"/>
      <c r="E56" s="1021"/>
      <c r="F56" s="1016"/>
      <c r="G56" s="1020"/>
      <c r="H56" s="1020"/>
      <c r="I56" s="1020"/>
      <c r="J56" s="1020"/>
      <c r="K56" s="1020"/>
      <c r="L56" s="1020"/>
      <c r="M56" s="1020"/>
      <c r="N56" s="1022"/>
      <c r="O56" s="1016"/>
      <c r="P56" s="1016"/>
      <c r="Q56" s="1016"/>
      <c r="R56" s="1016"/>
      <c r="S56" s="1016"/>
      <c r="T56" s="1016" t="s">
        <v>1500</v>
      </c>
      <c r="U56" s="1023"/>
      <c r="V56" s="1023"/>
      <c r="W56" s="1023"/>
      <c r="X56" s="1008"/>
      <c r="Y56" s="1008"/>
      <c r="Z56" s="1008"/>
      <c r="AA56" s="1008"/>
      <c r="AB56" s="1008"/>
      <c r="AC56" s="1008"/>
      <c r="AD56" s="1008"/>
      <c r="AE56" s="1015"/>
      <c r="AF56" s="1008"/>
      <c r="AG56" s="1008"/>
      <c r="AH56" s="1008"/>
    </row>
    <row r="57" spans="1:34" ht="12.75" x14ac:dyDescent="0.2">
      <c r="A57" s="1024"/>
      <c r="B57" s="1169"/>
      <c r="C57" s="1025">
        <v>10</v>
      </c>
      <c r="D57" s="1026">
        <v>20</v>
      </c>
      <c r="E57" s="1027">
        <v>50</v>
      </c>
      <c r="F57" s="1026">
        <v>100</v>
      </c>
      <c r="G57" s="1026">
        <v>200</v>
      </c>
      <c r="H57" s="1026">
        <v>500</v>
      </c>
      <c r="I57" s="1026"/>
      <c r="J57" s="1026"/>
      <c r="K57" s="1026"/>
      <c r="L57" s="1026"/>
      <c r="M57" s="1026"/>
      <c r="N57" s="1028">
        <v>1000</v>
      </c>
      <c r="O57" s="1026">
        <v>2000</v>
      </c>
      <c r="P57" s="1026">
        <v>5000</v>
      </c>
      <c r="Q57" s="1026">
        <v>10000</v>
      </c>
      <c r="R57" s="1026">
        <v>20000</v>
      </c>
      <c r="S57" s="1026">
        <v>30000</v>
      </c>
      <c r="T57" s="1029"/>
      <c r="U57" s="1030"/>
      <c r="V57" s="1031"/>
      <c r="W57" s="1031"/>
      <c r="X57" s="1008"/>
      <c r="Y57" s="1008"/>
      <c r="Z57" s="1008"/>
      <c r="AA57" s="1008"/>
      <c r="AB57" s="1008"/>
      <c r="AC57" s="1008"/>
      <c r="AD57" s="1008"/>
      <c r="AE57" s="1015"/>
      <c r="AF57" s="1008"/>
      <c r="AG57" s="1008"/>
      <c r="AH57" s="1008"/>
    </row>
    <row r="58" spans="1:34" ht="12.75" x14ac:dyDescent="0.2">
      <c r="A58" s="1009"/>
      <c r="B58" s="1012" t="s">
        <v>32</v>
      </c>
      <c r="C58" s="1032">
        <v>2.5239999999999999E-2</v>
      </c>
      <c r="D58" s="1032">
        <v>2.1409999999999998E-2</v>
      </c>
      <c r="E58" s="1019">
        <v>1.9120000000000002E-2</v>
      </c>
      <c r="F58" s="1032">
        <v>1.537E-2</v>
      </c>
      <c r="G58" s="1032">
        <v>1.436E-2</v>
      </c>
      <c r="H58" s="1032">
        <v>1.2540000000000001E-2</v>
      </c>
      <c r="I58" s="1032"/>
      <c r="J58" s="1032"/>
      <c r="K58" s="1032"/>
      <c r="L58" s="1032"/>
      <c r="M58" s="1032"/>
      <c r="N58" s="1033">
        <v>1.026E-2</v>
      </c>
      <c r="O58" s="1032">
        <v>7.9299999999999995E-3</v>
      </c>
      <c r="P58" s="1032">
        <v>5.8900000000000003E-3</v>
      </c>
      <c r="Q58" s="1032">
        <v>4.4200000000000003E-3</v>
      </c>
      <c r="R58" s="1032">
        <v>3.3E-3</v>
      </c>
      <c r="S58" s="1032">
        <v>2.64E-3</v>
      </c>
      <c r="T58" s="1034">
        <f>SUM(U58:AG58)</f>
        <v>2.5239999999999999E-2</v>
      </c>
      <c r="U58" s="1034">
        <f>IF(B51&lt;=C57,C58,0)</f>
        <v>2.5239999999999999E-2</v>
      </c>
      <c r="V58" s="1034">
        <f>IF(AND(B51&gt;C57,B51&lt;=D57),C58+(B51-C57)*(C58-D58)/(C57-D57),0)</f>
        <v>0</v>
      </c>
      <c r="W58" s="1034">
        <f>IF(AND(B51&gt;D57,B51&lt;=E57),D58+(B51-D57)*(D58-E58)/(D57-E57),0)</f>
        <v>0</v>
      </c>
      <c r="X58" s="1034">
        <f>IF(AND(B51&gt;E57,B51&lt;=F57),E58+(B51-E57)*(E58-F58)/(E57-F57),0)</f>
        <v>0</v>
      </c>
      <c r="Y58" s="1034">
        <f>IF(AND(B51&gt;F57,B51&lt;=G57),F58+(B51-F57)*(F58-G58)/(F57-G57),0)</f>
        <v>0</v>
      </c>
      <c r="Z58" s="1034">
        <f>IF(AND(B51&gt;G57,B51&lt;=H57),G58+(B51-G57)*(G58-H58)/(G57-H57),0)</f>
        <v>0</v>
      </c>
      <c r="AA58" s="1034">
        <f>IF(AND(B51&gt;H57,B51&lt;=N57),H58+(B51-H57)*(H58-N58)/(H57-N57),0)</f>
        <v>0</v>
      </c>
      <c r="AB58" s="1034">
        <f>IF(AND(B51&gt;N57,B51&lt;=O57),N58+(B51-N57)*(N58-O58)/(N57-O57),0)</f>
        <v>0</v>
      </c>
      <c r="AC58" s="1034">
        <f>IF(AND(B51&gt;O57,B51&lt;=P57),O58+(B51-O57)*(O58-P58)/(O57-P57),0)</f>
        <v>0</v>
      </c>
      <c r="AD58" s="1034">
        <f>IF(AND(B51&gt;P57,B51&lt;=Q57),P58+(B51-P57)*(P58-Q58)/(P57-Q57),0)</f>
        <v>0</v>
      </c>
      <c r="AE58" s="1034">
        <f>IF(AND(B51&gt;Q57,B51&lt;=R57),Q58+(B51-Q57)*(Q58-R58)/(Q57-R57),0)</f>
        <v>0</v>
      </c>
      <c r="AF58" s="1034">
        <f>IF(AND(B51&gt;R57,B51&lt;=S57),R58+(B51-R57)*(R58-S58)/(R57-S57),0)</f>
        <v>0</v>
      </c>
      <c r="AG58" s="1034">
        <f>IF(B51&gt;S57,S58,0)</f>
        <v>0</v>
      </c>
      <c r="AH58" s="1008"/>
    </row>
    <row r="59" spans="1:34" ht="12.75" x14ac:dyDescent="0.2">
      <c r="A59" s="1009"/>
      <c r="B59" s="1012" t="s">
        <v>1130</v>
      </c>
      <c r="C59" s="1032">
        <v>2.657E-2</v>
      </c>
      <c r="D59" s="1032">
        <v>2.2540000000000001E-2</v>
      </c>
      <c r="E59" s="1019">
        <v>2.0129999999999999E-2</v>
      </c>
      <c r="F59" s="1032">
        <v>1.617E-2</v>
      </c>
      <c r="G59" s="1032">
        <v>1.512E-2</v>
      </c>
      <c r="H59" s="1032">
        <v>1.32E-2</v>
      </c>
      <c r="I59" s="1032"/>
      <c r="J59" s="1032"/>
      <c r="K59" s="1032"/>
      <c r="L59" s="1032"/>
      <c r="M59" s="1032"/>
      <c r="N59" s="1033">
        <v>1.0800000000000001E-2</v>
      </c>
      <c r="O59" s="1032">
        <v>9.3100000000000006E-3</v>
      </c>
      <c r="P59" s="1032">
        <v>6.1999999999999998E-3</v>
      </c>
      <c r="Q59" s="1032">
        <v>4.6499999999999996E-3</v>
      </c>
      <c r="R59" s="1032">
        <v>3.47E-3</v>
      </c>
      <c r="S59" s="1032">
        <v>2.7799999999999999E-3</v>
      </c>
      <c r="T59" s="1034">
        <f>SUM(U59:AG59)</f>
        <v>2.657E-2</v>
      </c>
      <c r="U59" s="1034">
        <f>IF(B51&lt;=C57,C59,0)</f>
        <v>2.657E-2</v>
      </c>
      <c r="V59" s="1034">
        <f>IF(AND(B51&gt;C57,B51&lt;=D57),C59+(B51-C57)*(C59-D59)/(C57-D57),0)</f>
        <v>0</v>
      </c>
      <c r="W59" s="1034">
        <f>IF(AND(B51&gt;D57,B51&lt;=E57),D59+(B51-D57)*(D59-E59)/(D57-E57),0)</f>
        <v>0</v>
      </c>
      <c r="X59" s="1034">
        <f>IF(AND(B51&gt;E57,B51&lt;=F57),E59+(B51-E57)*(E59-F59)/(E57-F57),0)</f>
        <v>0</v>
      </c>
      <c r="Y59" s="1034">
        <f>IF(AND(B51&gt;F57,B51&lt;=G57),F59+(B51-F57)*(F59-G59)/(F57-G57),0)</f>
        <v>0</v>
      </c>
      <c r="Z59" s="1034">
        <f>IF(AND(B51&gt;G57,B51&lt;=H57),G59+(B51-G57)*(G59-H59)/(G57-H57),0)</f>
        <v>0</v>
      </c>
      <c r="AA59" s="1034">
        <f>IF(AND(B51&gt;H57,B51&lt;=N57),H59+(B51-H57)*(H59-N59)/(H57-N57),0)</f>
        <v>0</v>
      </c>
      <c r="AB59" s="1034">
        <f>IF(AND(B51&gt;N57,B51&lt;=O57),N59+(B51-N57)*(N59-O59)/(N57-O57),0)</f>
        <v>0</v>
      </c>
      <c r="AC59" s="1034">
        <f>IF(AND(B51&gt;O57,B51&lt;=P57),O59+(B51-O57)*(O59-P59)/(O57-P57),0)</f>
        <v>0</v>
      </c>
      <c r="AD59" s="1034">
        <f>IF(AND(B51&gt;P57,B51&lt;=Q57),P59+(B51-P57)*(P59-Q59)/(P57-Q57),0)</f>
        <v>0</v>
      </c>
      <c r="AE59" s="1034">
        <f>IF(AND(B51&gt;Q57,B51&lt;=R57),Q59+(B51-Q57)*(Q59-R59)/(Q57-R57),0)</f>
        <v>0</v>
      </c>
      <c r="AF59" s="1034">
        <f>IF(AND(B51&gt;R57,B51&lt;=S57),R59+(B51-R57)*(R59-S59)/(R57-S57),0)</f>
        <v>0</v>
      </c>
      <c r="AG59" s="1034">
        <f>IF(B51&gt;S57,S59,0)</f>
        <v>0</v>
      </c>
      <c r="AH59" s="1008"/>
    </row>
    <row r="60" spans="1:34" ht="12.75" x14ac:dyDescent="0.2">
      <c r="A60" s="1009"/>
      <c r="B60" s="1012" t="s">
        <v>71</v>
      </c>
      <c r="C60" s="1032">
        <v>2.2589999999999999E-2</v>
      </c>
      <c r="D60" s="1032">
        <v>1.916E-2</v>
      </c>
      <c r="E60" s="1019">
        <v>1.711E-2</v>
      </c>
      <c r="F60" s="1032">
        <v>1.375E-2</v>
      </c>
      <c r="G60" s="1032">
        <v>1.285E-2</v>
      </c>
      <c r="H60" s="1032">
        <v>1.1220000000000001E-2</v>
      </c>
      <c r="I60" s="1032"/>
      <c r="J60" s="1032"/>
      <c r="K60" s="1032"/>
      <c r="L60" s="1032"/>
      <c r="M60" s="1032"/>
      <c r="N60" s="1033">
        <v>9.1800000000000007E-3</v>
      </c>
      <c r="O60" s="1032">
        <v>7.9100000000000004E-3</v>
      </c>
      <c r="P60" s="1032">
        <v>8.2699999999999996E-3</v>
      </c>
      <c r="Q60" s="1032">
        <v>3.9500000000000004E-3</v>
      </c>
      <c r="R60" s="1032">
        <v>2.9499999999999999E-3</v>
      </c>
      <c r="S60" s="1032">
        <v>2.3600000000000001E-3</v>
      </c>
      <c r="T60" s="1034">
        <f>SUM(U60:AG60)</f>
        <v>2.2589999999999999E-2</v>
      </c>
      <c r="U60" s="1034">
        <f>IF(B51&lt;=C57,C60,0)</f>
        <v>2.2589999999999999E-2</v>
      </c>
      <c r="V60" s="1034">
        <f>IF(AND(B51&gt;C57,B51&lt;=D57),C60+(B51-C57)*(C60-D60)/(C57-D57),0)</f>
        <v>0</v>
      </c>
      <c r="W60" s="1034">
        <f>IF(AND(B51&gt;D57,B51&lt;=E57),D60+(B51-D57)*(D60-E60)/(D57-E57),0)</f>
        <v>0</v>
      </c>
      <c r="X60" s="1034">
        <f>IF(AND(B51&gt;E57,B51&lt;=F57),E60+(B51-E57)*(E60-F60)/(E57-F57),0)</f>
        <v>0</v>
      </c>
      <c r="Y60" s="1034">
        <f>IF(AND(B51&gt;F57,B51&lt;=G57),F60+(B51-F57)*(F60-G60)/(F57-G57),0)</f>
        <v>0</v>
      </c>
      <c r="Z60" s="1034">
        <f>IF(AND(B51&gt;G57,B51&lt;=H57),G60+(B51-G57)*(G60-H60)/(G57-H57),0)</f>
        <v>0</v>
      </c>
      <c r="AA60" s="1034">
        <f>IF(AND(B51&gt;H57,B51&lt;=N57),H60+(B51-H57)*(H60-N60)/(H57-N57),0)</f>
        <v>0</v>
      </c>
      <c r="AB60" s="1034">
        <f>IF(AND(B51&gt;N57,B51&lt;=O57),N60+(B51-N57)*(N60-O60)/(N57-O57),0)</f>
        <v>0</v>
      </c>
      <c r="AC60" s="1034">
        <f>IF(AND(B51&gt;O57,B51&lt;=P57),O60+(B51-O57)*(O60-P60)/(O57-P57),0)</f>
        <v>0</v>
      </c>
      <c r="AD60" s="1034">
        <f>IF(AND(B51&gt;P57,B51&lt;=Q57),P60+(B51-P57)*(P60-Q60)/(P57-Q57),0)</f>
        <v>0</v>
      </c>
      <c r="AE60" s="1034">
        <f>IF(AND(B51&gt;Q57,B51&lt;=R57),Q60+(B51-Q57)*(Q60-R60)/(Q57-R57),0)</f>
        <v>0</v>
      </c>
      <c r="AF60" s="1034">
        <f>IF(AND(B51&gt;R57,B51&lt;=S57),R60+(B51-R57)*(R60-S60)/(R57-S57),0)</f>
        <v>0</v>
      </c>
      <c r="AG60" s="1034">
        <f>IF(B51&gt;S57,S60,0)</f>
        <v>0</v>
      </c>
      <c r="AH60" s="1008"/>
    </row>
    <row r="61" spans="1:34" ht="12.75" x14ac:dyDescent="0.2">
      <c r="A61" s="1009"/>
      <c r="B61" s="1012" t="s">
        <v>1501</v>
      </c>
      <c r="C61" s="1032">
        <v>2.3910000000000001E-2</v>
      </c>
      <c r="D61" s="1032">
        <v>2.0289999999999999E-2</v>
      </c>
      <c r="E61" s="1019">
        <v>1.8110000000000001E-2</v>
      </c>
      <c r="F61" s="1032">
        <v>1.455E-2</v>
      </c>
      <c r="G61" s="1032">
        <v>1.3610000000000001E-2</v>
      </c>
      <c r="H61" s="1032">
        <v>1.188E-2</v>
      </c>
      <c r="I61" s="1032"/>
      <c r="J61" s="1032"/>
      <c r="K61" s="1032"/>
      <c r="L61" s="1032"/>
      <c r="M61" s="1032"/>
      <c r="N61" s="1033">
        <v>9.7199999999999995E-3</v>
      </c>
      <c r="O61" s="1032">
        <v>8.3800000000000003E-3</v>
      </c>
      <c r="P61" s="1032">
        <v>5.5799999999999999E-3</v>
      </c>
      <c r="Q61" s="1032">
        <v>4.1900000000000001E-3</v>
      </c>
      <c r="R61" s="1032">
        <v>3.13E-3</v>
      </c>
      <c r="S61" s="1032">
        <v>2.5000000000000001E-3</v>
      </c>
      <c r="T61" s="1034">
        <f>SUM(U61:AG61)</f>
        <v>2.3910000000000001E-2</v>
      </c>
      <c r="U61" s="1034">
        <f>IF(B51&lt;=C57,C61,0)</f>
        <v>2.3910000000000001E-2</v>
      </c>
      <c r="V61" s="1034">
        <f>IF(AND(B51&gt;C57,B51&lt;=D57),C61+(B51-C57)*(C61-D61)/(C57-D57),0)</f>
        <v>0</v>
      </c>
      <c r="W61" s="1034">
        <f>IF(AND(B51&gt;D57,B51&lt;=E57),D61+(B51-D57)*(D61-E61)/(D57-E57),0)</f>
        <v>0</v>
      </c>
      <c r="X61" s="1034">
        <f>IF(AND(B51&gt;E57,B51&lt;=F57),E61+(B51-E57)*(E61-F61)/(E57-F57),0)</f>
        <v>0</v>
      </c>
      <c r="Y61" s="1034">
        <f>IF(AND(B51&gt;F57,B51&lt;=G57),F61+(B51-F57)*(F61-G61)/(F57-G57),0)</f>
        <v>0</v>
      </c>
      <c r="Z61" s="1034">
        <f>IF(AND(B51&gt;G57,B51&lt;=H57),G61+(B51-G57)*(G61-H61)/(G57-H57),0)</f>
        <v>0</v>
      </c>
      <c r="AA61" s="1034">
        <f>IF(AND(B51&gt;H57,B51&lt;=N57),H61+(B51-H57)*(H61-N61)/(H57-N57),0)</f>
        <v>0</v>
      </c>
      <c r="AB61" s="1034">
        <f>IF(AND(B51&gt;N57,B51&lt;=O57),N61+(B51-N57)*(N61-O61)/(N57-O57),0)</f>
        <v>0</v>
      </c>
      <c r="AC61" s="1034">
        <f>IF(AND(B51&gt;O57,B51&lt;=P57),O61+(B51-O57)*(O61-P61)/(O57-P57),0)</f>
        <v>0</v>
      </c>
      <c r="AD61" s="1034">
        <f>IF(AND(B51&gt;P57,B51&lt;=Q57),P61+(B51-P57)*(P61-Q61)/(P57-Q57),0)</f>
        <v>0</v>
      </c>
      <c r="AE61" s="1034">
        <f>IF(AND(B51&gt;Q57,B51&lt;=R57),Q61+(B51-Q57)*(Q61-R61)/(Q57-R57),0)</f>
        <v>0</v>
      </c>
      <c r="AF61" s="1034">
        <f>IF(AND(B51&gt;R57,B51&lt;=S57),R61+(B51-R57)*(R61-S61)/(R57-S57),0)</f>
        <v>0</v>
      </c>
      <c r="AG61" s="1034">
        <f>IF(B51&gt;S57,S61,0)</f>
        <v>0</v>
      </c>
      <c r="AH61" s="1008"/>
    </row>
    <row r="62" spans="1:34" ht="12.75" x14ac:dyDescent="0.2">
      <c r="A62" s="1009"/>
      <c r="B62" s="1012" t="s">
        <v>500</v>
      </c>
      <c r="C62" s="1032">
        <v>2.1250000000000002E-2</v>
      </c>
      <c r="D62" s="1032">
        <v>1.8030000000000001E-2</v>
      </c>
      <c r="E62" s="1019">
        <v>1.61E-2</v>
      </c>
      <c r="F62" s="1032">
        <v>1.294E-2</v>
      </c>
      <c r="G62" s="1032">
        <v>1.21E-2</v>
      </c>
      <c r="H62" s="1032">
        <v>1.056E-2</v>
      </c>
      <c r="I62" s="1032"/>
      <c r="J62" s="1032"/>
      <c r="K62" s="1032"/>
      <c r="L62" s="1032"/>
      <c r="M62" s="1032"/>
      <c r="N62" s="1033">
        <v>8.6400000000000001E-3</v>
      </c>
      <c r="O62" s="1032">
        <v>7.4400000000000004E-3</v>
      </c>
      <c r="P62" s="1032">
        <v>4.96E-3</v>
      </c>
      <c r="Q62" s="1032">
        <v>3.7200000000000002E-3</v>
      </c>
      <c r="R62" s="1032">
        <v>2.7799999999999999E-3</v>
      </c>
      <c r="S62" s="1032">
        <v>2.2200000000000002E-3</v>
      </c>
      <c r="T62" s="1034">
        <f>SUM(U62:AG62)</f>
        <v>2.1250000000000002E-2</v>
      </c>
      <c r="U62" s="1034">
        <f>IF(B51&lt;=C57,C62,0)</f>
        <v>2.1250000000000002E-2</v>
      </c>
      <c r="V62" s="1034">
        <f>IF(AND(B51&gt;C57,B51&lt;=D57),C62+(B51-C57)*(C62-D62)/(C57-D57),0)</f>
        <v>0</v>
      </c>
      <c r="W62" s="1034">
        <f>IF(AND(B51&gt;D57,B51&lt;=E57),D62+(B51-D57)*(D62-E62)/(D57-E57),0)</f>
        <v>0</v>
      </c>
      <c r="X62" s="1034">
        <f>IF(AND(B51&gt;E57,B51&lt;=F57),E62+(B51-E57)*(E62-F62)/(E57-F57),0)</f>
        <v>0</v>
      </c>
      <c r="Y62" s="1034">
        <f>IF(AND(B51&gt;F57,B51&lt;=G57),F62+(B51-F57)*(F62-G62)/(F57-G57),0)</f>
        <v>0</v>
      </c>
      <c r="Z62" s="1034">
        <f>IF(AND(B51&gt;G57,B51&lt;=H57),G62+(B51-G57)*(G62-H62)/(G57-H57),0)</f>
        <v>0</v>
      </c>
      <c r="AA62" s="1034">
        <f>IF(AND(B51&gt;H57,B51&lt;=N57),H62+(B51-H57)*(H62-N62)/(H57-N57),0)</f>
        <v>0</v>
      </c>
      <c r="AB62" s="1034">
        <f>IF(AND(B51&gt;N57,B51&lt;=O57),N62+(B51-N57)*(N62-O62)/(N57-O57),0)</f>
        <v>0</v>
      </c>
      <c r="AC62" s="1034">
        <f>IF(AND(B51&gt;O57,B51&lt;=P57),O62+(B51-O57)*(O62-P62)/(O57-P57),0)</f>
        <v>0</v>
      </c>
      <c r="AD62" s="1034">
        <f>IF(AND(B51&gt;P57,B51&lt;=Q57),P62+(B51-P57)*(P62-Q62)/(P57-Q57),0)</f>
        <v>0</v>
      </c>
      <c r="AE62" s="1034">
        <f>IF(AND(B51&gt;Q57,B51&lt;=R57),Q62+(B51-Q57)*(Q62-R62)/(Q57-R57),0)</f>
        <v>0</v>
      </c>
      <c r="AF62" s="1034">
        <f>IF(AND(B51&gt;R57,B51&lt;=S57),R62+(B51-R57)*(R62-S62)/(R57-S57),0)</f>
        <v>0</v>
      </c>
      <c r="AG62" s="1034">
        <f>IF(B51&gt;S57,S62,0)</f>
        <v>0</v>
      </c>
      <c r="AH62" s="1008"/>
    </row>
    <row r="63" spans="1:34" ht="12.75" x14ac:dyDescent="0.2">
      <c r="A63" s="1009"/>
      <c r="B63" s="1011"/>
      <c r="C63" s="1018"/>
      <c r="D63" s="1018"/>
      <c r="E63" s="1019"/>
      <c r="F63" s="1011"/>
      <c r="G63" s="1018"/>
      <c r="H63" s="1018"/>
      <c r="I63" s="1018"/>
      <c r="J63" s="1018"/>
      <c r="K63" s="1018"/>
      <c r="L63" s="1018"/>
      <c r="M63" s="1018"/>
      <c r="N63" s="1033"/>
      <c r="O63" s="1011"/>
      <c r="P63" s="1011"/>
      <c r="Q63" s="1011"/>
      <c r="R63" s="1011"/>
      <c r="S63" s="1008"/>
      <c r="T63" s="1011"/>
      <c r="U63" s="1014"/>
      <c r="V63" s="1011"/>
      <c r="W63" s="1011"/>
      <c r="X63" s="1008"/>
      <c r="Y63" s="1008"/>
      <c r="Z63" s="1008"/>
      <c r="AA63" s="1008"/>
      <c r="AB63" s="1008"/>
      <c r="AC63" s="1008"/>
      <c r="AD63" s="1008"/>
      <c r="AE63" s="1015"/>
      <c r="AF63" s="1008"/>
      <c r="AG63" s="1008"/>
      <c r="AH63" s="1008"/>
    </row>
    <row r="64" spans="1:34" ht="12.75" x14ac:dyDescent="0.2">
      <c r="A64" s="1009"/>
      <c r="B64" s="1011"/>
      <c r="C64" s="1018"/>
      <c r="D64" s="1018"/>
      <c r="E64" s="1019"/>
      <c r="F64" s="1011"/>
      <c r="G64" s="1018"/>
      <c r="H64" s="1018"/>
      <c r="I64" s="1018"/>
      <c r="J64" s="1018"/>
      <c r="K64" s="1018"/>
      <c r="L64" s="1018"/>
      <c r="M64" s="1018"/>
      <c r="N64" s="1035"/>
      <c r="O64" s="1011"/>
      <c r="P64" s="1011"/>
      <c r="Q64" s="1011"/>
      <c r="R64" s="1011"/>
      <c r="S64" s="1008"/>
      <c r="T64" s="1011"/>
      <c r="U64" s="1014"/>
      <c r="V64" s="1011"/>
      <c r="W64" s="1011"/>
      <c r="X64" s="1008"/>
      <c r="Y64" s="1008"/>
      <c r="Z64" s="1008"/>
      <c r="AA64" s="1008"/>
      <c r="AB64" s="1008"/>
      <c r="AC64" s="1008"/>
      <c r="AD64" s="1008"/>
      <c r="AE64" s="1015"/>
      <c r="AF64" s="1008"/>
      <c r="AG64" s="1008"/>
      <c r="AH64" s="1008"/>
    </row>
    <row r="65" spans="1:34" ht="12.75" x14ac:dyDescent="0.2">
      <c r="A65" s="1036">
        <v>2</v>
      </c>
      <c r="B65" s="1182" t="s">
        <v>1502</v>
      </c>
      <c r="C65" s="1182"/>
      <c r="D65" s="1182"/>
      <c r="E65" s="1182"/>
      <c r="F65" s="1182"/>
      <c r="G65" s="1182"/>
      <c r="H65" s="1182"/>
      <c r="I65" s="1182"/>
      <c r="J65" s="1182"/>
      <c r="K65" s="1182"/>
      <c r="L65" s="1182"/>
      <c r="M65" s="1182"/>
      <c r="N65" s="1182"/>
      <c r="O65" s="1182"/>
      <c r="P65" s="1182"/>
      <c r="Q65" s="1182"/>
      <c r="R65" s="1182"/>
      <c r="S65" s="1182"/>
      <c r="T65" s="1182"/>
      <c r="U65" s="1014"/>
      <c r="V65" s="1011"/>
      <c r="W65" s="1011"/>
      <c r="X65" s="1008"/>
      <c r="Y65" s="1008"/>
      <c r="Z65" s="1008"/>
      <c r="AA65" s="1008"/>
      <c r="AB65" s="1008"/>
      <c r="AC65" s="1008"/>
      <c r="AD65" s="1008"/>
      <c r="AE65" s="1015"/>
      <c r="AF65" s="1008"/>
      <c r="AG65" s="1008"/>
      <c r="AH65" s="1008"/>
    </row>
    <row r="66" spans="1:34" ht="12.75" x14ac:dyDescent="0.2">
      <c r="A66" s="1009"/>
      <c r="B66" s="1169" t="s">
        <v>589</v>
      </c>
      <c r="C66" s="1020" t="s">
        <v>1499</v>
      </c>
      <c r="D66" s="1020"/>
      <c r="E66" s="1021"/>
      <c r="F66" s="1016"/>
      <c r="G66" s="1020"/>
      <c r="H66" s="1020"/>
      <c r="I66" s="1020"/>
      <c r="J66" s="1020"/>
      <c r="K66" s="1020"/>
      <c r="L66" s="1020"/>
      <c r="M66" s="1020"/>
      <c r="N66" s="1022"/>
      <c r="O66" s="1016"/>
      <c r="P66" s="1016"/>
      <c r="Q66" s="1016"/>
      <c r="R66" s="1016"/>
      <c r="S66" s="1016"/>
      <c r="T66" s="1016" t="s">
        <v>1500</v>
      </c>
      <c r="U66" s="1037"/>
      <c r="V66" s="1037"/>
      <c r="W66" s="1037"/>
      <c r="X66" s="1037"/>
      <c r="Y66" s="1037"/>
      <c r="Z66" s="1037"/>
      <c r="AA66" s="1037"/>
      <c r="AB66" s="1037"/>
      <c r="AC66" s="1037"/>
      <c r="AD66" s="1037"/>
      <c r="AE66" s="1023"/>
      <c r="AF66" s="1037"/>
      <c r="AG66" s="1037"/>
      <c r="AH66" s="1008"/>
    </row>
    <row r="67" spans="1:34" ht="12.75" x14ac:dyDescent="0.2">
      <c r="A67" s="1024"/>
      <c r="B67" s="1169"/>
      <c r="C67" s="1026">
        <v>15</v>
      </c>
      <c r="D67" s="1026">
        <v>20</v>
      </c>
      <c r="E67" s="1027">
        <v>50</v>
      </c>
      <c r="F67" s="1026">
        <v>100</v>
      </c>
      <c r="G67" s="1026">
        <v>200</v>
      </c>
      <c r="H67" s="1026">
        <v>500</v>
      </c>
      <c r="I67" s="1026"/>
      <c r="J67" s="1026"/>
      <c r="K67" s="1026"/>
      <c r="L67" s="1026"/>
      <c r="M67" s="1026"/>
      <c r="N67" s="1028">
        <v>1000</v>
      </c>
      <c r="O67" s="1026">
        <v>2000</v>
      </c>
      <c r="P67" s="1026">
        <v>5000</v>
      </c>
      <c r="Q67" s="1026">
        <v>10000</v>
      </c>
      <c r="R67" s="1026">
        <v>20000</v>
      </c>
      <c r="S67" s="1026">
        <v>30000</v>
      </c>
      <c r="T67" s="1029"/>
      <c r="U67" s="1030"/>
      <c r="V67" s="1030"/>
      <c r="W67" s="1030"/>
      <c r="X67" s="1030"/>
      <c r="Y67" s="1030"/>
      <c r="Z67" s="1030"/>
      <c r="AA67" s="1030"/>
      <c r="AB67" s="1030"/>
      <c r="AC67" s="1030"/>
      <c r="AD67" s="1030"/>
      <c r="AE67" s="1038"/>
      <c r="AF67" s="1030"/>
      <c r="AG67" s="1008"/>
      <c r="AH67" s="1008"/>
    </row>
    <row r="68" spans="1:34" ht="12.75" x14ac:dyDescent="0.2">
      <c r="A68" s="1009"/>
      <c r="B68" s="1012" t="s">
        <v>32</v>
      </c>
      <c r="C68" s="1032">
        <v>6.5500000000000003E-3</v>
      </c>
      <c r="D68" s="1032">
        <v>5.3800000000000002E-3</v>
      </c>
      <c r="E68" s="1019">
        <v>4.4200000000000003E-3</v>
      </c>
      <c r="F68" s="1032">
        <v>3.14E-3</v>
      </c>
      <c r="G68" s="1032">
        <v>2.3700000000000001E-3</v>
      </c>
      <c r="H68" s="1032">
        <v>1.91E-3</v>
      </c>
      <c r="I68" s="1032"/>
      <c r="J68" s="1032"/>
      <c r="K68" s="1032"/>
      <c r="L68" s="1032"/>
      <c r="M68" s="1032"/>
      <c r="N68" s="1033">
        <v>1.64E-3</v>
      </c>
      <c r="O68" s="1032">
        <v>1.39E-3</v>
      </c>
      <c r="P68" s="1032">
        <v>1.1100000000000001E-3</v>
      </c>
      <c r="Q68" s="1032">
        <v>8.8999999999999995E-4</v>
      </c>
      <c r="R68" s="1032">
        <v>6.9999999999999999E-4</v>
      </c>
      <c r="S68" s="1032">
        <v>5.6999999999999998E-4</v>
      </c>
      <c r="T68" s="1034">
        <f>SUM(U68:AG68)</f>
        <v>0</v>
      </c>
      <c r="U68" s="1034">
        <f>IF(B51=C67,C68,0)</f>
        <v>0</v>
      </c>
      <c r="V68" s="1034">
        <f>IF(AND(B51&gt;C67,B51&lt;=D67),C68+(B51-C67)*(C68-D68)/(C67-D67),0)</f>
        <v>0</v>
      </c>
      <c r="W68" s="1034">
        <f>IF(AND(B51&gt;D67,B51&lt;=E67),D68+(B51-D67)*(D68-E68)/(D67-E67),0)</f>
        <v>0</v>
      </c>
      <c r="X68" s="1034">
        <f>IF(AND(B51&gt;E67,B51&lt;=F67),E68+(B51-E67)*(E68-F68)/(E67-F67),0)</f>
        <v>0</v>
      </c>
      <c r="Y68" s="1034">
        <f>IF(AND(B51&gt;F67,B51&lt;=G67),F68+(B51-F67)*(F68-G68)/(F67-G67),0)</f>
        <v>0</v>
      </c>
      <c r="Z68" s="1034">
        <f>IF(AND(B51&gt;G67,B51&lt;=H67),G68+(B51-G67)*(G68-H68)/(G67-H67),0)</f>
        <v>0</v>
      </c>
      <c r="AA68" s="1034">
        <f>IF(AND(B51&gt;H67,B51&lt;=N67),H68+(B51-H67)*(H68-N68)/(H67-N67),0)</f>
        <v>0</v>
      </c>
      <c r="AB68" s="1034">
        <f>IF(AND(B51&gt;N67,B51&lt;=O67),N68+(B51-N67)*(N68-O68)/(N67-O67),0)</f>
        <v>0</v>
      </c>
      <c r="AC68" s="1034">
        <f>IF(AND(B51&gt;O67,B51&lt;=P67),O68+(B51-O67)*(O68-P68)/(O67-P67),0)</f>
        <v>0</v>
      </c>
      <c r="AD68" s="1034">
        <f>IF(AND(B51&gt;P67,B51&lt;=Q67),P68+(B51-P67)*(P68-Q68)/(P67-Q67),0)</f>
        <v>0</v>
      </c>
      <c r="AE68" s="1034">
        <f>IF(AND(B51&gt;Q67,B51&lt;=R67),Q68+(B51-Q67)*(Q68-R68)/(Q67-R67),0)</f>
        <v>0</v>
      </c>
      <c r="AF68" s="1034">
        <f>IF(AND(B51&gt;R67,B51&lt;=S67),R68+(B51-R67)*(R68-S68)/(R67-S67),0)</f>
        <v>0</v>
      </c>
      <c r="AG68" s="1034">
        <f>IF(B51&gt;S67,S68,0)</f>
        <v>0</v>
      </c>
      <c r="AH68" s="1008"/>
    </row>
    <row r="69" spans="1:34" ht="12.75" x14ac:dyDescent="0.2">
      <c r="A69" s="1009"/>
      <c r="B69" s="1012" t="s">
        <v>1130</v>
      </c>
      <c r="C69" s="1032">
        <v>9.3399999999999993E-3</v>
      </c>
      <c r="D69" s="1032">
        <v>7.9399999999999991E-3</v>
      </c>
      <c r="E69" s="1019">
        <v>6.3E-3</v>
      </c>
      <c r="F69" s="1032">
        <v>4.6699999999999997E-3</v>
      </c>
      <c r="G69" s="1032">
        <v>3.6800000000000001E-3</v>
      </c>
      <c r="H69" s="1032">
        <v>3.4499999999999999E-3</v>
      </c>
      <c r="I69" s="1032"/>
      <c r="J69" s="1032"/>
      <c r="K69" s="1032"/>
      <c r="L69" s="1032"/>
      <c r="M69" s="1032"/>
      <c r="N69" s="1033">
        <v>2.99E-3</v>
      </c>
      <c r="O69" s="1032">
        <v>2.4199999999999998E-3</v>
      </c>
      <c r="P69" s="1032">
        <v>2.0699999999999998E-3</v>
      </c>
      <c r="Q69" s="1032">
        <v>1.4499999999999999E-3</v>
      </c>
      <c r="R69" s="1032">
        <v>1.0399999999999999E-3</v>
      </c>
      <c r="S69" s="1032">
        <v>7.3999999999999999E-4</v>
      </c>
      <c r="T69" s="1034">
        <f>SUM(U69:AG69)</f>
        <v>0</v>
      </c>
      <c r="U69" s="1034">
        <f>IF(B51=C67,C69,0)</f>
        <v>0</v>
      </c>
      <c r="V69" s="1034">
        <f>IF(AND(B51&gt;C67,B51&lt;=D67),C69+(B51-C67)*(C69-D69)/(C67-D67),0)</f>
        <v>0</v>
      </c>
      <c r="W69" s="1034">
        <f>IF(AND(B51&gt;D67,B51&lt;=E67),D69+(B51-D67)*(D69-E69)/(D67-E67),0)</f>
        <v>0</v>
      </c>
      <c r="X69" s="1034">
        <f>IF(AND(B51&gt;E67,B51&lt;=F67),E69+(B51-E67)*(E69-F69)/(E67-F67),0)</f>
        <v>0</v>
      </c>
      <c r="Y69" s="1034">
        <f>IF(AND(B51&gt;F67,B51&lt;=G67),F69+(B51-F67)*(F69-G69)/(F67-G67),0)</f>
        <v>0</v>
      </c>
      <c r="Z69" s="1034">
        <f>IF(AND(B51&gt;G67,B51&lt;=H67),G69+(B51-G67)*(G69-H69)/(G67-H67),0)</f>
        <v>0</v>
      </c>
      <c r="AA69" s="1034">
        <f>IF(AND(B51&gt;H67,B51&lt;=N67),H69+(B51-H67)*(H69-N69)/(H67-N67),0)</f>
        <v>0</v>
      </c>
      <c r="AB69" s="1034">
        <f>IF(AND(B51&gt;N67,B51&lt;=O67),N69+(B51-N67)*(N69-O69)/(N67-O67),0)</f>
        <v>0</v>
      </c>
      <c r="AC69" s="1034">
        <f>IF(AND(B51&gt;O67,B51&lt;=P67),O69+(B51-O67)*(O69-P69)/(O67-P67),0)</f>
        <v>0</v>
      </c>
      <c r="AD69" s="1034">
        <f>IF(AND(B51&gt;P67,B51&lt;=Q67),P69+(B51-P67)*(P69-Q69)/(P67-Q67),0)</f>
        <v>0</v>
      </c>
      <c r="AE69" s="1034">
        <f>IF(AND(B51&gt;Q67,B51&lt;=R67),Q69+(B51-Q67)*(Q69-R69)/(Q67-R67),0)</f>
        <v>0</v>
      </c>
      <c r="AF69" s="1034">
        <f>IF(AND(B51&gt;R67,B51&lt;=S67),R69+(B51-R67)*(R69-S69)/(R67-S67),0)</f>
        <v>0</v>
      </c>
      <c r="AG69" s="1034">
        <f>IF(B51&gt;S67,S69,0)</f>
        <v>0</v>
      </c>
      <c r="AH69" s="1008"/>
    </row>
    <row r="70" spans="1:34" ht="12.75" x14ac:dyDescent="0.2">
      <c r="A70" s="1009"/>
      <c r="B70" s="1012" t="s">
        <v>71</v>
      </c>
      <c r="C70" s="1032">
        <v>4.9199999999999999E-3</v>
      </c>
      <c r="D70" s="1032">
        <v>4.4900000000000001E-3</v>
      </c>
      <c r="E70" s="1019">
        <v>3.5799999999999998E-3</v>
      </c>
      <c r="F70" s="1032">
        <v>2.81E-3</v>
      </c>
      <c r="G70" s="1032">
        <v>1.9400000000000001E-3</v>
      </c>
      <c r="H70" s="1032">
        <v>1.5E-3</v>
      </c>
      <c r="I70" s="1032"/>
      <c r="J70" s="1032"/>
      <c r="K70" s="1032"/>
      <c r="L70" s="1032"/>
      <c r="M70" s="1032"/>
      <c r="N70" s="1033">
        <v>1.31E-3</v>
      </c>
      <c r="O70" s="1032">
        <v>1.1199999999999999E-3</v>
      </c>
      <c r="P70" s="1032">
        <v>8.8999999999999995E-4</v>
      </c>
      <c r="Q70" s="1032">
        <v>7.2000000000000005E-4</v>
      </c>
      <c r="R70" s="1032">
        <v>5.8E-4</v>
      </c>
      <c r="S70" s="1032">
        <v>4.6999999999999999E-4</v>
      </c>
      <c r="T70" s="1034">
        <f>SUM(U70:AG70)</f>
        <v>0</v>
      </c>
      <c r="U70" s="1034">
        <f>IF(B51=C67,C70,0)</f>
        <v>0</v>
      </c>
      <c r="V70" s="1034">
        <f>IF(AND(B51&gt;C67,B51&lt;=D67),C70+(B51-C67)*(C70-D70)/(C67-D67),0)</f>
        <v>0</v>
      </c>
      <c r="W70" s="1034">
        <f>IF(AND(B51&gt;D67,B51&lt;=E67),D70+(B51-D67)*(D70-E70)/(D67-E67),0)</f>
        <v>0</v>
      </c>
      <c r="X70" s="1034">
        <f>IF(AND(B51&gt;E67,B51&lt;=F67),E70+(B51-E67)*(E70-F70)/(E67-F67),0)</f>
        <v>0</v>
      </c>
      <c r="Y70" s="1034">
        <f>IF(AND(B51&gt;F67,B51&lt;=G67),F70+(B51-F67)*(F70-G70)/(F67-G67),0)</f>
        <v>0</v>
      </c>
      <c r="Z70" s="1034">
        <f>IF(AND(B51&gt;G67,B51&lt;=H67),G70+(B51-G67)*(G70-H70)/(G67-H67),0)</f>
        <v>0</v>
      </c>
      <c r="AA70" s="1034">
        <f>IF(AND(B51&gt;H67,B51&lt;=N67),H70+(B51-H67)*(H70-N70)/(H67-N67),0)</f>
        <v>0</v>
      </c>
      <c r="AB70" s="1034">
        <f>IF(AND(B51&gt;N67,B51&lt;=O67),N70+(B51-N67)*(N70-O70)/(N67-O67),0)</f>
        <v>0</v>
      </c>
      <c r="AC70" s="1034">
        <f>IF(AND(B51&gt;O67,B51&lt;=P67),O70+(B51-O67)*(O70-P70)/(O67-P67),0)</f>
        <v>0</v>
      </c>
      <c r="AD70" s="1034">
        <f>IF(AND(B51&gt;P67,B51&lt;=Q67),P70+(B51-P67)*(P70-Q70)/(P67-Q67),0)</f>
        <v>0</v>
      </c>
      <c r="AE70" s="1034">
        <f>IF(AND(B51&gt;Q67,B51&lt;=R67),Q70+(B51-Q67)*(Q70-R70)/(Q67-R67),0)</f>
        <v>0</v>
      </c>
      <c r="AF70" s="1034">
        <f>IF(AND(B51&gt;R67,B51&lt;=S67),R70+(B51-R67)*(R70-S70)/(R67-S67),0)</f>
        <v>0</v>
      </c>
      <c r="AG70" s="1034">
        <f>IF(B51&gt;S67,S70,0)</f>
        <v>0</v>
      </c>
      <c r="AH70" s="1008"/>
    </row>
    <row r="71" spans="1:34" ht="12.75" x14ac:dyDescent="0.2">
      <c r="A71" s="1009"/>
      <c r="B71" s="1012" t="s">
        <v>1501</v>
      </c>
      <c r="C71" s="1032">
        <v>5.8900000000000003E-3</v>
      </c>
      <c r="D71" s="1032">
        <v>5.3600000000000002E-3</v>
      </c>
      <c r="E71" s="1019">
        <v>4.28E-3</v>
      </c>
      <c r="F71" s="1032">
        <v>3.0000000000000001E-3</v>
      </c>
      <c r="G71" s="1032">
        <v>2.2599999999999999E-3</v>
      </c>
      <c r="H71" s="1032">
        <v>1.82E-3</v>
      </c>
      <c r="I71" s="1032"/>
      <c r="J71" s="1032"/>
      <c r="K71" s="1032"/>
      <c r="L71" s="1032"/>
      <c r="M71" s="1032"/>
      <c r="N71" s="1033">
        <v>1.56E-3</v>
      </c>
      <c r="O71" s="1032">
        <v>1.34E-3</v>
      </c>
      <c r="P71" s="1032">
        <v>1.07E-3</v>
      </c>
      <c r="Q71" s="1032">
        <v>8.5999999999999998E-4</v>
      </c>
      <c r="R71" s="1032">
        <v>6.8999999999999997E-4</v>
      </c>
      <c r="S71" s="1032">
        <v>5.5999999999999995E-4</v>
      </c>
      <c r="T71" s="1034">
        <f>SUM(U71:AG71)</f>
        <v>0</v>
      </c>
      <c r="U71" s="1034">
        <f>IF(B51=C67,C71,0)</f>
        <v>0</v>
      </c>
      <c r="V71" s="1034">
        <f>IF(AND(B51&gt;C67,B51&lt;=D67),C71+(B51-C67)*(C71-D71)/(C67-D67),0)</f>
        <v>0</v>
      </c>
      <c r="W71" s="1034">
        <f>IF(AND(B51&gt;D67,B51&lt;=E67),D71+(B51-D67)*(D71-E71)/(D67-E67),0)</f>
        <v>0</v>
      </c>
      <c r="X71" s="1034">
        <f>IF(AND(B51&gt;E67,B51&lt;=F67),E71+(B51-E67)*(E71-F71)/(E67-F67),0)</f>
        <v>0</v>
      </c>
      <c r="Y71" s="1034">
        <f>IF(AND(B51&gt;F67,B51&lt;=G67),F71+(B51-F67)*(F71-G71)/(F67-G67),0)</f>
        <v>0</v>
      </c>
      <c r="Z71" s="1034">
        <f>IF(AND(B51&gt;G67,B51&lt;=H67),G71+(B51-G67)*(G71-H71)/(G67-H67),0)</f>
        <v>0</v>
      </c>
      <c r="AA71" s="1034">
        <f>IF(AND(B51&gt;H67,B51&lt;=N67),H71+(B51-H67)*(H71-N71)/(H67-N67),0)</f>
        <v>0</v>
      </c>
      <c r="AB71" s="1034">
        <f>IF(AND(B51&gt;N67,B51&lt;=O67),N71+(B51-N67)*(N71-O71)/(N67-O67),0)</f>
        <v>0</v>
      </c>
      <c r="AC71" s="1034">
        <f>IF(AND(B51&gt;O67,B51&lt;=P67),O71+(B51-O67)*(O71-P71)/(O67-P67),0)</f>
        <v>0</v>
      </c>
      <c r="AD71" s="1034">
        <f>IF(AND(B51&gt;P67,B51&lt;=Q67),P71+(B51-P67)*(P71-Q71)/(P67-Q67),0)</f>
        <v>0</v>
      </c>
      <c r="AE71" s="1034">
        <f>IF(AND(B51&gt;Q67,B51&lt;=R67),Q71+(B51-Q67)*(Q71-R71)/(Q67-R67),0)</f>
        <v>0</v>
      </c>
      <c r="AF71" s="1034">
        <f>IF(AND(B51&gt;R67,B51&lt;=S67),R71+(B51-R67)*(R71-S71)/(R67-S67),0)</f>
        <v>0</v>
      </c>
      <c r="AG71" s="1034">
        <f>IF(B51&gt;S67,S71,0)</f>
        <v>0</v>
      </c>
      <c r="AH71" s="1008"/>
    </row>
    <row r="72" spans="1:34" ht="12.75" x14ac:dyDescent="0.2">
      <c r="A72" s="1009"/>
      <c r="B72" s="1012" t="s">
        <v>500</v>
      </c>
      <c r="C72" s="1032">
        <v>5.1399999999999996E-3</v>
      </c>
      <c r="D72" s="1032">
        <v>4.6699999999999997E-3</v>
      </c>
      <c r="E72" s="1019">
        <v>3.7399999999999998E-3</v>
      </c>
      <c r="F72" s="1032">
        <v>2.9099999999999998E-3</v>
      </c>
      <c r="G72" s="1032">
        <v>2E-3</v>
      </c>
      <c r="H72" s="1032">
        <v>1.56E-3</v>
      </c>
      <c r="I72" s="1032"/>
      <c r="J72" s="1032"/>
      <c r="K72" s="1032"/>
      <c r="L72" s="1032"/>
      <c r="M72" s="1032"/>
      <c r="N72" s="1033">
        <v>1.3699999999999999E-3</v>
      </c>
      <c r="O72" s="1032">
        <v>1.17E-3</v>
      </c>
      <c r="P72" s="1032">
        <v>9.3999999999999997E-4</v>
      </c>
      <c r="Q72" s="1032">
        <v>7.5000000000000002E-4</v>
      </c>
      <c r="R72" s="1032">
        <v>5.9999999999999995E-4</v>
      </c>
      <c r="S72" s="1032">
        <v>4.8000000000000001E-4</v>
      </c>
      <c r="T72" s="1034">
        <f>SUM(U72:AG72)</f>
        <v>0</v>
      </c>
      <c r="U72" s="1034">
        <f>IF(B51=C67,C72,0)</f>
        <v>0</v>
      </c>
      <c r="V72" s="1034">
        <f>IF(AND(B51&gt;C67,B51&lt;=D67),C72+(B51-C67)*(C72-D72)/(C67-D67),0)</f>
        <v>0</v>
      </c>
      <c r="W72" s="1034">
        <f>IF(AND(B51&gt;D67,B51&lt;=E67),D72+(B51-D67)*(D72-E72)/(D67-E67),0)</f>
        <v>0</v>
      </c>
      <c r="X72" s="1034">
        <f>IF(AND(B51&gt;E67,B51&lt;=F67),E72+(B51-E67)*(E72-F72)/(E67-F67),0)</f>
        <v>0</v>
      </c>
      <c r="Y72" s="1034">
        <f>IF(AND(B51&gt;F67,B51&lt;=G67),F72+(B51-F67)*(F72-G72)/(F67-G67),0)</f>
        <v>0</v>
      </c>
      <c r="Z72" s="1034">
        <f>IF(AND(B51&gt;G67,B51&lt;=H67),G72+(B51-G67)*(G72-H72)/(G67-H67),0)</f>
        <v>0</v>
      </c>
      <c r="AA72" s="1034">
        <f>IF(AND(B51&gt;H67,B51&lt;=N67),H72+(B51-H67)*(H72-N72)/(H67-N67),0)</f>
        <v>0</v>
      </c>
      <c r="AB72" s="1034">
        <f>IF(AND(B51&gt;N67,B51&lt;=O67),N72+(B51-N67)*(N72-O72)/(N67-O67),0)</f>
        <v>0</v>
      </c>
      <c r="AC72" s="1034">
        <f>IF(AND(B51&gt;O67,B51&lt;=P67),O72+(B51-O67)*(O72-P72)/(O67-P67),0)</f>
        <v>0</v>
      </c>
      <c r="AD72" s="1034">
        <f>IF(AND(B51&gt;P67,B51&lt;=Q67),P72+(B51-P67)*(P72-Q72)/(P67-Q67),0)</f>
        <v>0</v>
      </c>
      <c r="AE72" s="1034">
        <f>IF(AND(B51&gt;Q67,B51&lt;=R67),Q72+(B51-Q67)*(Q72-R72)/(Q67-R67),0)</f>
        <v>0</v>
      </c>
      <c r="AF72" s="1034">
        <f>IF(AND(B51&gt;R67,B51&lt;=S67),R72+(B51-R67)*(R72-S72)/(R67-S67),0)</f>
        <v>0</v>
      </c>
      <c r="AG72" s="1034">
        <f>IF(B51&gt;S67,S72,0)</f>
        <v>0</v>
      </c>
      <c r="AH72" s="1008"/>
    </row>
    <row r="73" spans="1:34" ht="12.75" x14ac:dyDescent="0.2">
      <c r="A73" s="1009"/>
      <c r="B73" s="1011"/>
      <c r="C73" s="1018"/>
      <c r="D73" s="1018"/>
      <c r="E73" s="1039"/>
      <c r="F73" s="1018"/>
      <c r="G73" s="1018"/>
      <c r="H73" s="1018"/>
      <c r="I73" s="1018"/>
      <c r="J73" s="1018"/>
      <c r="K73" s="1018"/>
      <c r="L73" s="1018"/>
      <c r="M73" s="1018"/>
      <c r="N73" s="1040"/>
      <c r="O73" s="1018"/>
      <c r="P73" s="1018"/>
      <c r="Q73" s="1018"/>
      <c r="R73" s="1018"/>
      <c r="S73" s="1018"/>
      <c r="T73" s="1011"/>
      <c r="U73" s="1014"/>
      <c r="V73" s="1011"/>
      <c r="W73" s="1011"/>
      <c r="X73" s="1008"/>
      <c r="Y73" s="1008"/>
      <c r="Z73" s="1008"/>
      <c r="AA73" s="1008"/>
      <c r="AB73" s="1008"/>
      <c r="AC73" s="1008"/>
      <c r="AD73" s="1008"/>
      <c r="AE73" s="1015"/>
      <c r="AF73" s="1008"/>
      <c r="AG73" s="1008"/>
      <c r="AH73" s="1008"/>
    </row>
    <row r="74" spans="1:34" ht="12.75" x14ac:dyDescent="0.2">
      <c r="A74" s="1009"/>
      <c r="B74" s="1011"/>
      <c r="C74" s="1032"/>
      <c r="D74" s="1032"/>
      <c r="E74" s="1019"/>
      <c r="F74" s="1032"/>
      <c r="G74" s="1032"/>
      <c r="H74" s="1032"/>
      <c r="I74" s="1032"/>
      <c r="J74" s="1032"/>
      <c r="K74" s="1032"/>
      <c r="L74" s="1032"/>
      <c r="M74" s="1032"/>
      <c r="N74" s="1033"/>
      <c r="O74" s="1032"/>
      <c r="P74" s="1032"/>
      <c r="Q74" s="1032"/>
      <c r="R74" s="1032"/>
      <c r="S74" s="1032"/>
      <c r="T74" s="1011"/>
      <c r="U74" s="1014"/>
      <c r="V74" s="1011"/>
      <c r="W74" s="1011"/>
      <c r="X74" s="1008"/>
      <c r="Y74" s="1008"/>
      <c r="Z74" s="1008"/>
      <c r="AA74" s="1008"/>
      <c r="AB74" s="1008"/>
      <c r="AC74" s="1008"/>
      <c r="AD74" s="1008"/>
      <c r="AE74" s="1015"/>
      <c r="AF74" s="1008"/>
      <c r="AG74" s="1030"/>
      <c r="AH74" s="1008"/>
    </row>
    <row r="75" spans="1:34" ht="12.75" x14ac:dyDescent="0.2">
      <c r="A75" s="1036">
        <v>3</v>
      </c>
      <c r="B75" s="1182" t="s">
        <v>1503</v>
      </c>
      <c r="C75" s="1182"/>
      <c r="D75" s="1182"/>
      <c r="E75" s="1182"/>
      <c r="F75" s="1182"/>
      <c r="G75" s="1018"/>
      <c r="H75" s="1018"/>
      <c r="I75" s="1018"/>
      <c r="J75" s="1018"/>
      <c r="K75" s="1018"/>
      <c r="L75" s="1018"/>
      <c r="M75" s="1018"/>
      <c r="N75" s="1033"/>
      <c r="O75" s="1011"/>
      <c r="P75" s="1011"/>
      <c r="Q75" s="1011"/>
      <c r="R75" s="1011"/>
      <c r="S75" s="1011"/>
      <c r="T75" s="1011"/>
      <c r="U75" s="1014"/>
      <c r="V75" s="1011"/>
      <c r="W75" s="1011"/>
      <c r="X75" s="1008"/>
      <c r="Y75" s="1008"/>
      <c r="Z75" s="1008"/>
      <c r="AA75" s="1008"/>
      <c r="AB75" s="1008"/>
      <c r="AC75" s="1008"/>
      <c r="AD75" s="1008"/>
      <c r="AE75" s="1015"/>
      <c r="AF75" s="1008"/>
      <c r="AG75" s="1008"/>
      <c r="AH75" s="1008"/>
    </row>
    <row r="76" spans="1:34" ht="12.75" x14ac:dyDescent="0.2">
      <c r="A76" s="1009"/>
      <c r="B76" s="1169" t="s">
        <v>589</v>
      </c>
      <c r="C76" s="1041" t="s">
        <v>1499</v>
      </c>
      <c r="D76" s="1041"/>
      <c r="E76" s="1042"/>
      <c r="F76" s="1016" t="s">
        <v>1500</v>
      </c>
      <c r="G76" s="1037"/>
      <c r="H76" s="1037"/>
      <c r="I76" s="1037"/>
      <c r="J76" s="1037"/>
      <c r="K76" s="1037"/>
      <c r="L76" s="1037"/>
      <c r="M76" s="1037"/>
      <c r="N76" s="1043"/>
      <c r="O76" s="1037"/>
      <c r="P76" s="1037"/>
      <c r="Q76" s="1037"/>
      <c r="R76" s="1037"/>
      <c r="S76" s="1037"/>
      <c r="T76" s="1037"/>
      <c r="U76" s="1037"/>
      <c r="V76" s="1037"/>
      <c r="W76" s="1037"/>
      <c r="X76" s="1037"/>
      <c r="Y76" s="1008"/>
      <c r="Z76" s="1008"/>
      <c r="AA76" s="1008"/>
      <c r="AB76" s="1008"/>
      <c r="AC76" s="1008"/>
      <c r="AD76" s="1008"/>
      <c r="AE76" s="1015"/>
      <c r="AF76" s="1008"/>
      <c r="AG76" s="1008"/>
      <c r="AH76" s="1008"/>
    </row>
    <row r="77" spans="1:34" ht="12.75" x14ac:dyDescent="0.2">
      <c r="A77" s="1024"/>
      <c r="B77" s="1169"/>
      <c r="C77" s="1025">
        <v>3</v>
      </c>
      <c r="D77" s="1026">
        <v>7</v>
      </c>
      <c r="E77" s="1044">
        <v>15</v>
      </c>
      <c r="F77" s="1029"/>
      <c r="G77" s="1030"/>
      <c r="H77" s="1030"/>
      <c r="I77" s="1030"/>
      <c r="J77" s="1030"/>
      <c r="K77" s="1030"/>
      <c r="L77" s="1030"/>
      <c r="M77" s="1030"/>
      <c r="N77" s="1040"/>
      <c r="O77" s="1030"/>
      <c r="P77" s="1030"/>
      <c r="Q77" s="1030"/>
      <c r="R77" s="1030"/>
      <c r="S77" s="1030"/>
      <c r="T77" s="1030"/>
      <c r="U77" s="1030"/>
      <c r="V77" s="1030"/>
      <c r="W77" s="1030"/>
      <c r="X77" s="1008"/>
      <c r="Y77" s="1008"/>
      <c r="Z77" s="1008"/>
      <c r="AA77" s="1008"/>
      <c r="AB77" s="1008"/>
      <c r="AC77" s="1008"/>
      <c r="AD77" s="1008"/>
      <c r="AE77" s="1015"/>
      <c r="AF77" s="1008"/>
      <c r="AG77" s="1008"/>
      <c r="AH77" s="1008"/>
    </row>
    <row r="78" spans="1:34" ht="12.75" x14ac:dyDescent="0.2">
      <c r="A78" s="1009"/>
      <c r="B78" s="1012" t="s">
        <v>32</v>
      </c>
      <c r="C78" s="1032">
        <v>3.5999999999999997E-2</v>
      </c>
      <c r="D78" s="1032">
        <v>3.2000000000000001E-2</v>
      </c>
      <c r="E78" s="1019">
        <v>2.8000000000000001E-2</v>
      </c>
      <c r="F78" s="1034">
        <f>SUM(G78:O78)</f>
        <v>3.5999999999999997E-2</v>
      </c>
      <c r="G78" s="1034">
        <f>IF(B51&lt;=C77,C78,0)</f>
        <v>3.5999999999999997E-2</v>
      </c>
      <c r="H78" s="1034">
        <f>IF(AND(B51&gt;C77,B51&lt;=D77),C78+(B51-C77)*(C78-D78)/(C77-D77),0)</f>
        <v>0</v>
      </c>
      <c r="I78" s="1034"/>
      <c r="J78" s="1034"/>
      <c r="K78" s="1034"/>
      <c r="L78" s="1034"/>
      <c r="M78" s="1034"/>
      <c r="N78" s="1022">
        <f>IF(AND(B51&gt;D77,B51&lt;E77),D78+(B51-D77)*(D78-E78)/(D77-E77),0)</f>
        <v>0</v>
      </c>
      <c r="O78" s="1034">
        <v>0</v>
      </c>
      <c r="P78" s="1034"/>
      <c r="Q78" s="1008"/>
      <c r="R78" s="1008"/>
      <c r="S78" s="1008"/>
      <c r="T78" s="1008"/>
      <c r="U78" s="1008"/>
      <c r="V78" s="1008"/>
      <c r="W78" s="1008"/>
      <c r="X78" s="1008"/>
      <c r="Y78" s="1008"/>
      <c r="Z78" s="1008"/>
      <c r="AA78" s="1008"/>
      <c r="AB78" s="1008"/>
      <c r="AC78" s="1008"/>
      <c r="AD78" s="1008"/>
      <c r="AE78" s="1015"/>
      <c r="AF78" s="1008"/>
      <c r="AG78" s="1008"/>
      <c r="AH78" s="1008"/>
    </row>
    <row r="79" spans="1:34" ht="12.75" x14ac:dyDescent="0.2">
      <c r="A79" s="1009"/>
      <c r="B79" s="1012" t="s">
        <v>1130</v>
      </c>
      <c r="C79" s="1032">
        <v>3.6999999999999998E-2</v>
      </c>
      <c r="D79" s="1032">
        <v>3.3000000000000002E-2</v>
      </c>
      <c r="E79" s="1019">
        <v>2.9000000000000001E-2</v>
      </c>
      <c r="F79" s="1034">
        <f>SUM(G79:O79)</f>
        <v>3.6999999999999998E-2</v>
      </c>
      <c r="G79" s="1034">
        <f>IF(B51&lt;=C77,C79,0)</f>
        <v>3.6999999999999998E-2</v>
      </c>
      <c r="H79" s="1034">
        <f>IF(AND(B51&gt;C77,B51&lt;=D77),C79+(B51-C77)*(C79-D79)/(C77-D77),0)</f>
        <v>0</v>
      </c>
      <c r="I79" s="1034"/>
      <c r="J79" s="1034"/>
      <c r="K79" s="1034"/>
      <c r="L79" s="1034"/>
      <c r="M79" s="1034"/>
      <c r="N79" s="1022">
        <f>IF(AND(B51&gt;D77,B51&lt;E77),D79+(B51-D77)*(D79-E79)/(D77-E77),0)</f>
        <v>0</v>
      </c>
      <c r="O79" s="1034">
        <v>0</v>
      </c>
      <c r="P79" s="1034"/>
      <c r="Q79" s="1008"/>
      <c r="R79" s="1008"/>
      <c r="S79" s="1008"/>
      <c r="T79" s="1008"/>
      <c r="U79" s="1008"/>
      <c r="V79" s="1008"/>
      <c r="W79" s="1008"/>
      <c r="X79" s="1008"/>
      <c r="Y79" s="1008"/>
      <c r="Z79" s="1008"/>
      <c r="AA79" s="1008"/>
      <c r="AB79" s="1008"/>
      <c r="AC79" s="1008"/>
      <c r="AD79" s="1008"/>
      <c r="AE79" s="1015"/>
      <c r="AF79" s="1008"/>
      <c r="AG79" s="1008"/>
      <c r="AH79" s="1008"/>
    </row>
    <row r="80" spans="1:34" ht="12.75" x14ac:dyDescent="0.2">
      <c r="A80" s="1009"/>
      <c r="B80" s="1012" t="s">
        <v>71</v>
      </c>
      <c r="C80" s="1032">
        <v>2.8000000000000001E-2</v>
      </c>
      <c r="D80" s="1032">
        <v>2.1000000000000001E-2</v>
      </c>
      <c r="E80" s="1019">
        <v>1.9E-2</v>
      </c>
      <c r="F80" s="1034">
        <f>SUM(G80:O80)</f>
        <v>2.8000000000000001E-2</v>
      </c>
      <c r="G80" s="1034">
        <f>IF(B51&lt;=C77,C80,0)</f>
        <v>2.8000000000000001E-2</v>
      </c>
      <c r="H80" s="1034">
        <f>IF(AND(B51&gt;C77,B51&lt;=D77),C80+(B51-C77)*(C80-D80)/(C77-D77),0)</f>
        <v>0</v>
      </c>
      <c r="I80" s="1034"/>
      <c r="J80" s="1034"/>
      <c r="K80" s="1034"/>
      <c r="L80" s="1034"/>
      <c r="M80" s="1034"/>
      <c r="N80" s="1022">
        <f>IF(AND(B51&gt;D77,B51&lt;E77),D80+(B51-D77)*(D80-E80)/(D77-E77),0)</f>
        <v>0</v>
      </c>
      <c r="O80" s="1034">
        <v>0</v>
      </c>
      <c r="P80" s="1034"/>
      <c r="Q80" s="1008"/>
      <c r="R80" s="1008"/>
      <c r="S80" s="1008"/>
      <c r="T80" s="1008"/>
      <c r="U80" s="1008"/>
      <c r="V80" s="1008"/>
      <c r="W80" s="1008"/>
      <c r="X80" s="1008"/>
      <c r="Y80" s="1008"/>
      <c r="Z80" s="1008"/>
      <c r="AA80" s="1008"/>
      <c r="AB80" s="1008"/>
      <c r="AC80" s="1008"/>
      <c r="AD80" s="1008"/>
      <c r="AE80" s="1015"/>
      <c r="AF80" s="1008"/>
      <c r="AG80" s="1008"/>
      <c r="AH80" s="1008"/>
    </row>
    <row r="81" spans="1:34" ht="12.75" x14ac:dyDescent="0.2">
      <c r="A81" s="1009"/>
      <c r="B81" s="1012" t="s">
        <v>1501</v>
      </c>
      <c r="C81" s="1032">
        <v>3.4000000000000002E-2</v>
      </c>
      <c r="D81" s="1032">
        <v>0.03</v>
      </c>
      <c r="E81" s="1019">
        <v>2.8000000000000001E-2</v>
      </c>
      <c r="F81" s="1034">
        <f>SUM(G81:O81)</f>
        <v>3.4000000000000002E-2</v>
      </c>
      <c r="G81" s="1034">
        <f>IF(B51&lt;=C77,C81,0)</f>
        <v>3.4000000000000002E-2</v>
      </c>
      <c r="H81" s="1034">
        <f>IF(AND(B51&gt;C77,B51&lt;=D77),C81+(B51-C77)*(C81-D81)/(C77-D77),0)</f>
        <v>0</v>
      </c>
      <c r="I81" s="1034"/>
      <c r="J81" s="1034"/>
      <c r="K81" s="1034"/>
      <c r="L81" s="1034"/>
      <c r="M81" s="1034"/>
      <c r="N81" s="1022">
        <f>IF(AND(B51&gt;D77,B51&lt;E77),D81+(B51-D77)*(D81-E81)/(D77-E77),0)</f>
        <v>0</v>
      </c>
      <c r="O81" s="1034">
        <v>0</v>
      </c>
      <c r="P81" s="1034"/>
      <c r="Q81" s="1008"/>
      <c r="R81" s="1008"/>
      <c r="S81" s="1008"/>
      <c r="T81" s="1008"/>
      <c r="U81" s="1008"/>
      <c r="V81" s="1008"/>
      <c r="W81" s="1008"/>
      <c r="X81" s="1008"/>
      <c r="Y81" s="1008"/>
      <c r="Z81" s="1008"/>
      <c r="AA81" s="1008"/>
      <c r="AB81" s="1008"/>
      <c r="AC81" s="1008"/>
      <c r="AD81" s="1008"/>
      <c r="AE81" s="1015"/>
      <c r="AF81" s="1008"/>
      <c r="AG81" s="1008"/>
      <c r="AH81" s="1008"/>
    </row>
    <row r="82" spans="1:34" ht="12.75" x14ac:dyDescent="0.2">
      <c r="A82" s="1009"/>
      <c r="B82" s="1012" t="s">
        <v>500</v>
      </c>
      <c r="C82" s="1032">
        <v>3.2000000000000001E-2</v>
      </c>
      <c r="D82" s="1032">
        <v>2.5999999999999999E-2</v>
      </c>
      <c r="E82" s="1019">
        <v>2.3E-2</v>
      </c>
      <c r="F82" s="1034">
        <f>SUM(G82:O82)</f>
        <v>3.2000000000000001E-2</v>
      </c>
      <c r="G82" s="1034">
        <f>IF(B51&lt;=C77,C82,0)</f>
        <v>3.2000000000000001E-2</v>
      </c>
      <c r="H82" s="1034">
        <f>IF(AND(B51&gt;C77,B51&lt;=D77),C82+(B51-C77)*(C82-D82)/(C77-D77),0)</f>
        <v>0</v>
      </c>
      <c r="I82" s="1034"/>
      <c r="J82" s="1034"/>
      <c r="K82" s="1034"/>
      <c r="L82" s="1034"/>
      <c r="M82" s="1034"/>
      <c r="N82" s="1022">
        <f>IF(AND(B51&gt;D77,B51&lt;E77),D82+(B51-D77)*(D82-E82)/(D77-E77),0)</f>
        <v>0</v>
      </c>
      <c r="O82" s="1034">
        <v>0</v>
      </c>
      <c r="P82" s="1034"/>
      <c r="Q82" s="1008"/>
      <c r="R82" s="1008"/>
      <c r="S82" s="1008"/>
      <c r="T82" s="1008"/>
      <c r="U82" s="1008"/>
      <c r="V82" s="1008"/>
      <c r="W82" s="1008"/>
      <c r="X82" s="1008"/>
      <c r="Y82" s="1008"/>
      <c r="Z82" s="1008"/>
      <c r="AA82" s="1008"/>
      <c r="AB82" s="1008"/>
      <c r="AC82" s="1008"/>
      <c r="AD82" s="1008"/>
      <c r="AE82" s="1015"/>
      <c r="AF82" s="1008"/>
      <c r="AG82" s="1008"/>
      <c r="AH82" s="1008"/>
    </row>
    <row r="83" spans="1:34" ht="12.75" x14ac:dyDescent="0.2">
      <c r="A83" s="1009"/>
      <c r="B83" s="1011"/>
      <c r="C83" s="1018"/>
      <c r="D83" s="1018"/>
      <c r="E83" s="1019"/>
      <c r="F83" s="1011"/>
      <c r="G83" s="1034"/>
      <c r="H83" s="1034"/>
      <c r="I83" s="1034"/>
      <c r="J83" s="1034"/>
      <c r="K83" s="1034"/>
      <c r="L83" s="1034"/>
      <c r="M83" s="1034"/>
      <c r="N83" s="1022"/>
      <c r="O83" s="1034"/>
      <c r="P83" s="1034"/>
      <c r="Q83" s="1011"/>
      <c r="R83" s="1011"/>
      <c r="S83" s="1011"/>
      <c r="T83" s="1011"/>
      <c r="U83" s="1014"/>
      <c r="V83" s="1011"/>
      <c r="W83" s="1011"/>
      <c r="X83" s="1008"/>
      <c r="Y83" s="1008"/>
      <c r="Z83" s="1008"/>
      <c r="AA83" s="1008"/>
      <c r="AB83" s="1008"/>
      <c r="AC83" s="1008"/>
      <c r="AD83" s="1008"/>
      <c r="AE83" s="1015"/>
      <c r="AF83" s="1008"/>
      <c r="AG83" s="1008"/>
      <c r="AH83" s="1008"/>
    </row>
    <row r="84" spans="1:34" ht="12.75" x14ac:dyDescent="0.2">
      <c r="A84" s="1009"/>
      <c r="B84" s="1011"/>
      <c r="C84" s="1032"/>
      <c r="D84" s="1032"/>
      <c r="E84" s="1019"/>
      <c r="F84" s="1032"/>
      <c r="G84" s="1032"/>
      <c r="H84" s="1032"/>
      <c r="I84" s="1032"/>
      <c r="J84" s="1032"/>
      <c r="K84" s="1032"/>
      <c r="L84" s="1032"/>
      <c r="M84" s="1032"/>
      <c r="N84" s="1033"/>
      <c r="O84" s="1032"/>
      <c r="P84" s="1032"/>
      <c r="Q84" s="1032"/>
      <c r="R84" s="1032"/>
      <c r="S84" s="1011"/>
      <c r="T84" s="1011"/>
      <c r="U84" s="1014"/>
      <c r="V84" s="1011"/>
      <c r="W84" s="1011"/>
      <c r="X84" s="1008"/>
      <c r="Y84" s="1008"/>
      <c r="Z84" s="1008"/>
      <c r="AA84" s="1008"/>
      <c r="AB84" s="1008"/>
      <c r="AC84" s="1008"/>
      <c r="AD84" s="1008"/>
      <c r="AE84" s="1015"/>
      <c r="AF84" s="1008"/>
      <c r="AG84" s="1008"/>
      <c r="AH84" s="1008"/>
    </row>
    <row r="85" spans="1:34" ht="12.75" x14ac:dyDescent="0.2">
      <c r="A85" s="1009">
        <v>4</v>
      </c>
      <c r="B85" s="1182" t="s">
        <v>1504</v>
      </c>
      <c r="C85" s="1182"/>
      <c r="D85" s="1182"/>
      <c r="E85" s="1182"/>
      <c r="F85" s="1182"/>
      <c r="G85" s="1182"/>
      <c r="H85" s="1182"/>
      <c r="I85" s="1182"/>
      <c r="J85" s="1182"/>
      <c r="K85" s="1182"/>
      <c r="L85" s="1182"/>
      <c r="M85" s="1182"/>
      <c r="N85" s="1182"/>
      <c r="O85" s="1182"/>
      <c r="P85" s="1182"/>
      <c r="Q85" s="1182"/>
      <c r="R85" s="1182"/>
      <c r="S85" s="1182"/>
      <c r="T85" s="1182"/>
      <c r="U85" s="1182"/>
      <c r="V85" s="1011"/>
      <c r="W85" s="1011"/>
      <c r="X85" s="1008"/>
      <c r="Y85" s="1008"/>
      <c r="Z85" s="1008"/>
      <c r="AA85" s="1008"/>
      <c r="AB85" s="1008"/>
      <c r="AC85" s="1008"/>
      <c r="AD85" s="1008"/>
      <c r="AE85" s="1015"/>
      <c r="AF85" s="1008"/>
      <c r="AG85" s="1008"/>
      <c r="AH85" s="1008"/>
    </row>
    <row r="86" spans="1:34" ht="12.75" x14ac:dyDescent="0.2">
      <c r="A86" s="1009"/>
      <c r="B86" s="1011"/>
      <c r="C86" s="1032"/>
      <c r="D86" s="1032"/>
      <c r="E86" s="1019"/>
      <c r="F86" s="1032"/>
      <c r="G86" s="1032"/>
      <c r="H86" s="1032"/>
      <c r="I86" s="1032"/>
      <c r="J86" s="1032"/>
      <c r="K86" s="1032"/>
      <c r="L86" s="1032"/>
      <c r="M86" s="1032"/>
      <c r="N86" s="1033"/>
      <c r="O86" s="1032"/>
      <c r="P86" s="1032"/>
      <c r="Q86" s="1032"/>
      <c r="R86" s="1032"/>
      <c r="S86" s="1011"/>
      <c r="T86" s="1011"/>
      <c r="U86" s="1014"/>
      <c r="V86" s="1011"/>
      <c r="W86" s="1011"/>
      <c r="X86" s="1008"/>
      <c r="Y86" s="1008"/>
      <c r="Z86" s="1008"/>
      <c r="AA86" s="1008"/>
      <c r="AB86" s="1008"/>
      <c r="AC86" s="1008"/>
      <c r="AD86" s="1008"/>
      <c r="AE86" s="1015"/>
      <c r="AF86" s="1008"/>
      <c r="AG86" s="1008"/>
      <c r="AH86" s="1008"/>
    </row>
    <row r="87" spans="1:34" ht="12.75" x14ac:dyDescent="0.2">
      <c r="A87" s="1009"/>
      <c r="B87" s="1169" t="s">
        <v>781</v>
      </c>
      <c r="C87" s="1183" t="s">
        <v>1171</v>
      </c>
      <c r="D87" s="1183"/>
      <c r="E87" s="1183"/>
      <c r="F87" s="1183"/>
      <c r="G87" s="1183"/>
      <c r="H87" s="1183"/>
      <c r="I87" s="1183"/>
      <c r="J87" s="1183"/>
      <c r="K87" s="1183"/>
      <c r="L87" s="1183"/>
      <c r="M87" s="1183"/>
      <c r="N87" s="1183"/>
      <c r="O87" s="1183"/>
      <c r="P87" s="1183"/>
      <c r="Q87" s="1183"/>
      <c r="R87" s="1183"/>
      <c r="S87" s="1016" t="s">
        <v>1500</v>
      </c>
      <c r="T87" s="1184" t="s">
        <v>1323</v>
      </c>
      <c r="U87" s="1184" t="s">
        <v>1505</v>
      </c>
      <c r="V87" s="1011"/>
      <c r="W87" s="1011"/>
      <c r="X87" s="1008"/>
      <c r="Y87" s="1008"/>
      <c r="Z87" s="1008"/>
      <c r="AA87" s="1008"/>
      <c r="AB87" s="1008"/>
      <c r="AC87" s="1008"/>
      <c r="AD87" s="1008"/>
      <c r="AE87" s="1015"/>
      <c r="AF87" s="1008"/>
      <c r="AG87" s="1008"/>
      <c r="AH87" s="1008"/>
    </row>
    <row r="88" spans="1:34" ht="12.75" x14ac:dyDescent="0.2">
      <c r="A88" s="1024"/>
      <c r="B88" s="1169"/>
      <c r="C88" s="1025">
        <v>7</v>
      </c>
      <c r="D88" s="1025">
        <v>10</v>
      </c>
      <c r="E88" s="1027">
        <v>20</v>
      </c>
      <c r="F88" s="1026">
        <v>50</v>
      </c>
      <c r="G88" s="1026">
        <v>100</v>
      </c>
      <c r="H88" s="1026">
        <v>200</v>
      </c>
      <c r="I88" s="1026"/>
      <c r="J88" s="1026"/>
      <c r="K88" s="1026"/>
      <c r="L88" s="1026"/>
      <c r="M88" s="1026"/>
      <c r="N88" s="1028">
        <v>500</v>
      </c>
      <c r="O88" s="1026">
        <v>1000</v>
      </c>
      <c r="P88" s="1026">
        <v>2000</v>
      </c>
      <c r="Q88" s="1026">
        <v>5000</v>
      </c>
      <c r="R88" s="1026">
        <v>8000</v>
      </c>
      <c r="S88" s="1029"/>
      <c r="T88" s="1184"/>
      <c r="U88" s="1184"/>
      <c r="V88" s="1011"/>
      <c r="W88" s="1011"/>
      <c r="X88" s="1008"/>
      <c r="Y88" s="1008"/>
      <c r="Z88" s="1008"/>
      <c r="AA88" s="1008"/>
      <c r="AB88" s="1008"/>
      <c r="AC88" s="1008"/>
      <c r="AD88" s="1008"/>
      <c r="AE88" s="1015"/>
      <c r="AF88" s="1008"/>
      <c r="AG88" s="1008"/>
      <c r="AH88" s="1008"/>
    </row>
    <row r="89" spans="1:34" ht="12.75" x14ac:dyDescent="0.2">
      <c r="A89" s="1009"/>
      <c r="B89" s="1012" t="s">
        <v>1506</v>
      </c>
      <c r="C89" s="1045"/>
      <c r="D89" s="1045">
        <v>2.7400000000000001E-2</v>
      </c>
      <c r="E89" s="1046">
        <v>2.3800000000000002E-2</v>
      </c>
      <c r="F89" s="1045">
        <v>0.02</v>
      </c>
      <c r="G89" s="1045">
        <v>1.8200000000000001E-2</v>
      </c>
      <c r="H89" s="1045">
        <v>1.66E-2</v>
      </c>
      <c r="I89" s="1045"/>
      <c r="J89" s="1045"/>
      <c r="K89" s="1045"/>
      <c r="L89" s="1045"/>
      <c r="M89" s="1045"/>
      <c r="N89" s="1033">
        <v>1.4E-2</v>
      </c>
      <c r="O89" s="1045">
        <v>1.1299999999999999E-2</v>
      </c>
      <c r="P89" s="1045">
        <v>9.7000000000000003E-3</v>
      </c>
      <c r="Q89" s="1045">
        <v>7.4999999999999997E-3</v>
      </c>
      <c r="R89" s="1045">
        <v>5.7999999999999996E-3</v>
      </c>
      <c r="S89" s="1034">
        <f t="shared" ref="S89:S138" si="1">SUM(V89:AG89)</f>
        <v>2.7400000000000001E-2</v>
      </c>
      <c r="T89" s="1014">
        <v>2</v>
      </c>
      <c r="U89" s="1047">
        <v>0.55000000000000004</v>
      </c>
      <c r="V89" s="1034">
        <v>0</v>
      </c>
      <c r="W89" s="1034">
        <f>IF(C51&lt;=D88,D89,0)</f>
        <v>2.7400000000000001E-2</v>
      </c>
      <c r="X89" s="1034">
        <f>IF(AND(C51&gt;D88,C51&lt;=E88),D89+(C51-D88)*(D89-E89)/(D88-E88),0)</f>
        <v>0</v>
      </c>
      <c r="Y89" s="1034">
        <f>IF(AND(C51&gt;E88,C51&lt;=F88),E89+(C51-E88)*(E89-F89)/(E88-F88),0)</f>
        <v>0</v>
      </c>
      <c r="Z89" s="1034">
        <f>IF(AND(C51&gt;F88,C51&lt;=G88),F89+(C51-F88)*(F89-G89)/(F88-G88),0)</f>
        <v>0</v>
      </c>
      <c r="AA89" s="1034">
        <f>IF(AND(C51&gt;G88,C51&lt;=H88),G89+(C51-G88)*(G89-H89)/(G88-H88),0)</f>
        <v>0</v>
      </c>
      <c r="AB89" s="1034">
        <f>IF(AND(C51&gt;H88,C51&lt;=N88),H89+(C51-H88)*(H89-N89)/(H88-N88),0)</f>
        <v>0</v>
      </c>
      <c r="AC89" s="1034">
        <f>IF(AND(C51&gt;N88,C51&lt;=O88),N89+(C51-N88)*(N89-O89)/(N88-O88),0)</f>
        <v>0</v>
      </c>
      <c r="AD89" s="1034">
        <f>IF(AND(C51&gt;O88,C51&lt;=P88),O89+(C51-O88)*(O89-P89)/(O88-P88),0)</f>
        <v>0</v>
      </c>
      <c r="AE89" s="1034">
        <f>IF(AND(C51&gt;P88,C51&lt;=Q88),P89+(C51-P88)*(P89-Q89)/(P88-Q88),0)</f>
        <v>0</v>
      </c>
      <c r="AF89" s="1034">
        <f>IF(AND(C51&gt;Q88,C51&lt;=R88),Q89+(C51-Q88)*(Q89-R89)/(Q88-R88),0)</f>
        <v>0</v>
      </c>
      <c r="AG89" s="1034">
        <f>IF(C51&gt;=R88,R89,0)</f>
        <v>0</v>
      </c>
      <c r="AH89" s="1008"/>
    </row>
    <row r="90" spans="1:34" ht="12.75" x14ac:dyDescent="0.2">
      <c r="A90" s="1009"/>
      <c r="B90" s="1012" t="s">
        <v>1507</v>
      </c>
      <c r="C90" s="1045"/>
      <c r="D90" s="1045">
        <v>2.4799999999999999E-2</v>
      </c>
      <c r="E90" s="1046">
        <v>2.1700000000000001E-2</v>
      </c>
      <c r="F90" s="1045">
        <v>1.8200000000000001E-2</v>
      </c>
      <c r="G90" s="1045">
        <v>1.6400000000000001E-2</v>
      </c>
      <c r="H90" s="1045">
        <v>1.5100000000000001E-2</v>
      </c>
      <c r="I90" s="1045"/>
      <c r="J90" s="1045"/>
      <c r="K90" s="1045"/>
      <c r="L90" s="1045"/>
      <c r="M90" s="1045"/>
      <c r="N90" s="1033">
        <v>1.2699999999999999E-2</v>
      </c>
      <c r="O90" s="1045">
        <v>1.03E-2</v>
      </c>
      <c r="P90" s="1045">
        <v>8.8999999999999999E-3</v>
      </c>
      <c r="Q90" s="1045">
        <v>6.7999999999999996E-3</v>
      </c>
      <c r="R90" s="1045">
        <v>5.3E-3</v>
      </c>
      <c r="S90" s="1034">
        <f t="shared" si="1"/>
        <v>2.4799999999999999E-2</v>
      </c>
      <c r="T90" s="1014">
        <v>3</v>
      </c>
      <c r="U90" s="1047">
        <v>0.55000000000000004</v>
      </c>
      <c r="V90" s="1034">
        <v>0</v>
      </c>
      <c r="W90" s="1034">
        <f>IF(C51&lt;=D88,D90,0)</f>
        <v>2.4799999999999999E-2</v>
      </c>
      <c r="X90" s="1034">
        <f>IF(AND(C51&gt;D88,C51&lt;=E88),D90+(C51-D88)*(D90-E90)/(D88-E88),0)</f>
        <v>0</v>
      </c>
      <c r="Y90" s="1034">
        <f>IF(AND(C51&gt;E88,C51&lt;=F88),E90+(C51-E88)*(E90-F90)/(E88-F88),0)</f>
        <v>0</v>
      </c>
      <c r="Z90" s="1034">
        <f>IF(AND(C51&gt;F88,C51&lt;=G88),F90+(C51-F88)*(F90-G90)/(F88-G88),0)</f>
        <v>0</v>
      </c>
      <c r="AA90" s="1034">
        <f>IF(AND(C51&gt;G88,C51&lt;=H88),G90+(C51-G88)*(G90-H90)/(G88-H88),0)</f>
        <v>0</v>
      </c>
      <c r="AB90" s="1034">
        <f>IF(AND(C51&gt;H88,C51&lt;=N88),H90+(C51-H88)*(H90-N90)/(H88-N88),0)</f>
        <v>0</v>
      </c>
      <c r="AC90" s="1034">
        <f>IF(AND(C51&gt;N88,C51&lt;=O88),N90+(C51-N88)*(N90-O90)/(N88-O88),0)</f>
        <v>0</v>
      </c>
      <c r="AD90" s="1034">
        <f>IF(AND(C51&gt;O88,C51&lt;=P88),O90+(C51-O88)*(O90-P90)/(O88-P88),0)</f>
        <v>0</v>
      </c>
      <c r="AE90" s="1034">
        <f>IF(AND(C51&gt;P88,C51&lt;=Q88),P90+(C51-P88)*(P90-Q90)/(P88-Q88),0)</f>
        <v>0</v>
      </c>
      <c r="AF90" s="1034">
        <f>IF(AND(C51&gt;Q88,C51&lt;=R88),Q90+(C51-Q88)*(Q90-R90)/(Q88-R88),0)</f>
        <v>0</v>
      </c>
      <c r="AG90" s="1034">
        <f>IF(C51&gt;=R88,R90,0)</f>
        <v>0</v>
      </c>
      <c r="AH90" s="1008"/>
    </row>
    <row r="91" spans="1:34" ht="12.75" x14ac:dyDescent="0.2">
      <c r="A91" s="1009"/>
      <c r="B91" s="1012" t="s">
        <v>1508</v>
      </c>
      <c r="C91" s="1045">
        <v>2.3599999999999999E-2</v>
      </c>
      <c r="D91" s="1045">
        <v>2.2499999999999999E-2</v>
      </c>
      <c r="E91" s="1046">
        <v>1.9599999999999999E-2</v>
      </c>
      <c r="F91" s="1045">
        <v>1.66E-2</v>
      </c>
      <c r="G91" s="1045">
        <v>1.5100000000000001E-2</v>
      </c>
      <c r="H91" s="1045">
        <v>1.37E-2</v>
      </c>
      <c r="I91" s="1045"/>
      <c r="J91" s="1045"/>
      <c r="K91" s="1045"/>
      <c r="L91" s="1045"/>
      <c r="M91" s="1045"/>
      <c r="N91" s="1033">
        <v>1.1599999999999999E-2</v>
      </c>
      <c r="O91" s="1045">
        <v>9.4999999999999998E-3</v>
      </c>
      <c r="P91" s="1045">
        <v>8.0000000000000002E-3</v>
      </c>
      <c r="Q91" s="1045">
        <v>6.1999999999999998E-3</v>
      </c>
      <c r="R91" s="1045">
        <v>4.7000000000000002E-3</v>
      </c>
      <c r="S91" s="1034">
        <f t="shared" si="1"/>
        <v>2.2499999999999999E-2</v>
      </c>
      <c r="T91" s="1014">
        <v>4</v>
      </c>
      <c r="U91" s="1047">
        <v>0.55000000000000004</v>
      </c>
      <c r="V91" s="1034">
        <f>IF(C51&lt;=C88,D91,0)</f>
        <v>2.2499999999999999E-2</v>
      </c>
      <c r="W91" s="1034">
        <f>IF(AND(C51&gt;C88,C51&lt;=D88),C91+(C51-C88)*(C91-D91)/(C88-D88),0)</f>
        <v>0</v>
      </c>
      <c r="X91" s="1034">
        <f>IF(AND(C51&gt;D88,C51&lt;=E88),D91+(C51-D88)*(D91-E91)/(D88-E88),0)</f>
        <v>0</v>
      </c>
      <c r="Y91" s="1034">
        <f>IF(AND(C51&gt;E88,C51&lt;=F88),E91+(C51-E88)*(E91-F91)/(E88-F88),0)</f>
        <v>0</v>
      </c>
      <c r="Z91" s="1034">
        <f>IF(AND(C51&gt;F88,C51&lt;=G88),F91+(C51-F88)*(F91-G91)/(F88-G88),0)</f>
        <v>0</v>
      </c>
      <c r="AA91" s="1034">
        <f>IF(AND(C51&gt;G88,C51&lt;=H88),G91+(C51-G88)*(G91-H91)/(G88-H88),0)</f>
        <v>0</v>
      </c>
      <c r="AB91" s="1034">
        <f>IF(AND(C51&gt;H88,C51&lt;=N88),H91+(C51-H88)*(H91-N91)/(H88-N88),0)</f>
        <v>0</v>
      </c>
      <c r="AC91" s="1034">
        <f>IF(AND(C51&gt;N88,C51&lt;=O88),N91+(C51-N88)*(N91-O91)/(N88-O88),0)</f>
        <v>0</v>
      </c>
      <c r="AD91" s="1034">
        <f>IF(AND(C51&gt;O88,C51&lt;=P88),O91+(C51-O88)*(O91-P91)/(O88-P88),0)</f>
        <v>0</v>
      </c>
      <c r="AE91" s="1034">
        <f>IF(AND(C51&gt;P88,C51&lt;=Q88),P91+(C51-P88)*(P91-Q91)/(P88-Q88),0)</f>
        <v>0</v>
      </c>
      <c r="AF91" s="1034">
        <f>IF(AND(C51&gt;Q88,C51&lt;=R88),Q91+(C51-Q88)*(Q91-R91)/(Q88-R88),0)</f>
        <v>0</v>
      </c>
      <c r="AG91" s="1034">
        <f>IF(C51&gt;=R88,R91,0)</f>
        <v>0</v>
      </c>
      <c r="AH91" s="1008"/>
    </row>
    <row r="92" spans="1:34" ht="12.75" x14ac:dyDescent="0.2">
      <c r="A92" s="1009"/>
      <c r="B92" s="1012" t="s">
        <v>1509</v>
      </c>
      <c r="C92" s="1045">
        <v>2.12E-2</v>
      </c>
      <c r="D92" s="1045">
        <v>2.0299999999999999E-2</v>
      </c>
      <c r="E92" s="1046">
        <v>1.7600000000000001E-2</v>
      </c>
      <c r="F92" s="1045">
        <v>1.4800000000000001E-2</v>
      </c>
      <c r="G92" s="1045">
        <v>1.34E-2</v>
      </c>
      <c r="H92" s="1045">
        <v>1.23E-2</v>
      </c>
      <c r="I92" s="1045"/>
      <c r="J92" s="1045"/>
      <c r="K92" s="1045"/>
      <c r="L92" s="1045"/>
      <c r="M92" s="1045"/>
      <c r="N92" s="1033">
        <v>1.04E-2</v>
      </c>
      <c r="O92" s="1045">
        <v>8.5000000000000006E-3</v>
      </c>
      <c r="P92" s="1045">
        <v>7.1999999999999998E-3</v>
      </c>
      <c r="Q92" s="1045">
        <v>5.4999999999999997E-3</v>
      </c>
      <c r="R92" s="1045">
        <v>4.1999999999999997E-3</v>
      </c>
      <c r="S92" s="1034">
        <f t="shared" si="1"/>
        <v>2.0299999999999999E-2</v>
      </c>
      <c r="T92" s="1014">
        <v>5</v>
      </c>
      <c r="U92" s="1047">
        <v>0.55000000000000004</v>
      </c>
      <c r="V92" s="1034">
        <f>IF(C51&lt;=C88,D92,0)</f>
        <v>2.0299999999999999E-2</v>
      </c>
      <c r="W92" s="1034">
        <f>IF(AND(C51&gt;C88,C51&lt;=D88),C92+(C51-C88)*(C92-D92)/(C88-D88),0)</f>
        <v>0</v>
      </c>
      <c r="X92" s="1034">
        <f>IF(AND(C51&gt;D88,C51&lt;=E88),D92+(C51-D88)*(D92-E92)/(D88-E88),0)</f>
        <v>0</v>
      </c>
      <c r="Y92" s="1034">
        <f>IF(AND(C51&gt;E88,C51&lt;=F88),E92+(C51-E88)*(E92-F92)/(E88-F88),0)</f>
        <v>0</v>
      </c>
      <c r="Z92" s="1034">
        <f>IF(AND(C51&gt;F88,C51&lt;=G88),F92+(C51-F88)*(F92-G92)/(F88-G88),0)</f>
        <v>0</v>
      </c>
      <c r="AA92" s="1034">
        <f>IF(AND(C51&gt;G88,C51&lt;=H88),G92+(C51-G88)*(G92-H92)/(G88-H88),0)</f>
        <v>0</v>
      </c>
      <c r="AB92" s="1034">
        <f>IF(AND(C51&gt;H88,C51&lt;=N88),H92+(C51-H88)*(H92-N92)/(H88-N88),0)</f>
        <v>0</v>
      </c>
      <c r="AC92" s="1034">
        <f>IF(AND(C51&gt;N88,C51&lt;=O88),N92+(C51-N88)*(N92-O92)/(N88-O88),0)</f>
        <v>0</v>
      </c>
      <c r="AD92" s="1034">
        <f>IF(AND(C51&gt;O88,C51&lt;=P88),O92+(C51-O88)*(O92-P92)/(O88-P88),0)</f>
        <v>0</v>
      </c>
      <c r="AE92" s="1034">
        <f>IF(AND(C51&gt;P88,C51&lt;=Q88),P92+(C51-P88)*(P92-Q92)/(P88-Q88),0)</f>
        <v>0</v>
      </c>
      <c r="AF92" s="1034">
        <f>IF(AND(C51&gt;Q88,C51&lt;=R88),Q92+(C51-Q88)*(Q92-R92)/(Q88-R88),0)</f>
        <v>0</v>
      </c>
      <c r="AG92" s="1034">
        <f>IF(C51&gt;=R88,R92,0)</f>
        <v>0</v>
      </c>
      <c r="AH92" s="1008"/>
    </row>
    <row r="93" spans="1:34" ht="12.75" x14ac:dyDescent="0.2">
      <c r="A93" s="1009"/>
      <c r="B93" s="1012" t="s">
        <v>1510</v>
      </c>
      <c r="C93" s="1045">
        <v>1.8800000000000001E-2</v>
      </c>
      <c r="D93" s="1045">
        <v>1.7999999999999999E-2</v>
      </c>
      <c r="E93" s="1046">
        <v>1.5699999999999999E-2</v>
      </c>
      <c r="F93" s="1045">
        <v>1.23E-2</v>
      </c>
      <c r="G93" s="1045">
        <v>1.04E-2</v>
      </c>
      <c r="H93" s="1045">
        <v>8.8000000000000005E-3</v>
      </c>
      <c r="I93" s="1045"/>
      <c r="J93" s="1045"/>
      <c r="K93" s="1045"/>
      <c r="L93" s="1045"/>
      <c r="M93" s="1045"/>
      <c r="N93" s="1033">
        <v>7.4999999999999997E-3</v>
      </c>
      <c r="O93" s="1045">
        <v>6.1000000000000004E-3</v>
      </c>
      <c r="P93" s="1045"/>
      <c r="Q93" s="1045"/>
      <c r="R93" s="1045"/>
      <c r="S93" s="1034">
        <f t="shared" si="1"/>
        <v>1.7999999999999999E-2</v>
      </c>
      <c r="T93" s="1014">
        <v>6</v>
      </c>
      <c r="U93" s="1047">
        <v>0.55000000000000004</v>
      </c>
      <c r="V93" s="1034">
        <f>IF(C51&lt;=C88,D93,0)</f>
        <v>1.7999999999999999E-2</v>
      </c>
      <c r="W93" s="1034">
        <f>IF(AND(C51&gt;C88,C51&lt;=D88),C93+(C51-C88)*(C93-D93)/(C88-D88),0)</f>
        <v>0</v>
      </c>
      <c r="X93" s="1034">
        <f>IF(AND(C51&gt;D88,C51&lt;=E88),D93+(C51-D88)*(D93-E93)/(D88-E88),0)</f>
        <v>0</v>
      </c>
      <c r="Y93" s="1034">
        <f>IF(AND(C51&gt;E88,C51&lt;=F88),E93+(C51-E88)*(E93-F93)/(E88-F88),0)</f>
        <v>0</v>
      </c>
      <c r="Z93" s="1034">
        <f>IF(AND(C51&gt;F88,C51&lt;=G88),F93+(C51-F88)*(F93-G93)/(F88-G88),0)</f>
        <v>0</v>
      </c>
      <c r="AA93" s="1034">
        <f>IF(AND(C51&gt;G88,C51&lt;=H88),G93+(C51-G88)*(G93-H93)/(G88-H88),0)</f>
        <v>0</v>
      </c>
      <c r="AB93" s="1034">
        <f>IF(AND(C51&gt;H88,C51&lt;=N88),H93+(C51-H88)*(H93-N93)/(H88-N88),0)</f>
        <v>0</v>
      </c>
      <c r="AC93" s="1034">
        <f>IF(AND(C51&gt;N88,C51&lt;=O88),N93+(C51-N88)*(N93-O93)/(N88-O88),0)</f>
        <v>0</v>
      </c>
      <c r="AD93" s="1034">
        <f>IF(C51&gt;=O88,O93,0)</f>
        <v>0</v>
      </c>
      <c r="AE93" s="1034">
        <v>0</v>
      </c>
      <c r="AF93" s="1034">
        <v>0</v>
      </c>
      <c r="AG93" s="1034">
        <v>0</v>
      </c>
      <c r="AH93" s="1008"/>
    </row>
    <row r="94" spans="1:34" ht="12.75" x14ac:dyDescent="0.2">
      <c r="A94" s="1036"/>
      <c r="B94" s="1012" t="s">
        <v>1511</v>
      </c>
      <c r="C94" s="1048"/>
      <c r="D94" s="1049">
        <v>4.24E-2</v>
      </c>
      <c r="E94" s="1039">
        <v>3.6799999999999999E-2</v>
      </c>
      <c r="F94" s="1049">
        <v>3.1E-2</v>
      </c>
      <c r="G94" s="1049">
        <v>2.8199999999999999E-2</v>
      </c>
      <c r="H94" s="1049">
        <v>2.5700000000000001E-2</v>
      </c>
      <c r="I94" s="1049"/>
      <c r="J94" s="1049"/>
      <c r="K94" s="1049"/>
      <c r="L94" s="1049"/>
      <c r="M94" s="1049"/>
      <c r="N94" s="1035">
        <v>2.1700000000000001E-2</v>
      </c>
      <c r="O94" s="1049">
        <v>1.7500000000000002E-2</v>
      </c>
      <c r="P94" s="1049">
        <v>1.4999999999999999E-2</v>
      </c>
      <c r="Q94" s="1049">
        <v>1.1599999999999999E-2</v>
      </c>
      <c r="R94" s="1049">
        <v>8.9999999999999993E-3</v>
      </c>
      <c r="S94" s="1034">
        <f t="shared" si="1"/>
        <v>4.24E-2</v>
      </c>
      <c r="T94" s="1014">
        <v>8</v>
      </c>
      <c r="U94" s="1014"/>
      <c r="V94" s="1034">
        <v>0</v>
      </c>
      <c r="W94" s="1034">
        <f>IF(C51&lt;=D88,D94,0)</f>
        <v>4.24E-2</v>
      </c>
      <c r="X94" s="1034">
        <f>IF(AND(C51&gt;D88,C51&lt;=E88),D94+(C51-D88)*(D94-E94)/(D88-E88),0)</f>
        <v>0</v>
      </c>
      <c r="Y94" s="1034">
        <f>IF(AND(C51&gt;E88,C51&lt;=F88),E94+(C51-E88)*(E94-F94)/(E88-F88),0)</f>
        <v>0</v>
      </c>
      <c r="Z94" s="1034">
        <f>IF(AND(C51&gt;F88,C51&lt;=G88),F94+(C51-F88)*(F94-G94)/(F88-G88),0)</f>
        <v>0</v>
      </c>
      <c r="AA94" s="1034">
        <f>IF(AND(C51&gt;G88,C51&lt;=H88),G94+(C51-G88)*(G94-H94)/(G88-H88),0)</f>
        <v>0</v>
      </c>
      <c r="AB94" s="1034">
        <f>IF(AND(C51&gt;H88,C51&lt;=N88),H94+(C51-H88)*(H94-N94)/(H88-N88),0)</f>
        <v>0</v>
      </c>
      <c r="AC94" s="1034">
        <f>IF(AND(C51&gt;N88,C51&lt;=O88),N94+(C51-N88)*(N94-O94)/(N88-O88),0)</f>
        <v>0</v>
      </c>
      <c r="AD94" s="1034">
        <f>IF(AND(C51&gt;O88,C51&lt;=P88),O94+(C51-O88)*(O94-P94)/(O88-P88),0)</f>
        <v>0</v>
      </c>
      <c r="AE94" s="1034">
        <f>IF(AND(C51&gt;P88,C51&lt;=Q88),P94+(C51-P88)*(P94-Q94)/(P88-Q88),0)</f>
        <v>0</v>
      </c>
      <c r="AF94" s="1034">
        <f>IF(AND(C51&gt;Q88,C51&lt;=R88),Q94+(C51-Q88)*(Q94-R94)/(Q88-R88),0)</f>
        <v>0</v>
      </c>
      <c r="AG94" s="1034">
        <f>IF(C51&gt;=R88,R94,0)</f>
        <v>0</v>
      </c>
      <c r="AH94" s="1008"/>
    </row>
    <row r="95" spans="1:34" ht="12.75" x14ac:dyDescent="0.2">
      <c r="A95" s="1036"/>
      <c r="B95" s="1012" t="s">
        <v>1512</v>
      </c>
      <c r="C95" s="1048"/>
      <c r="D95" s="1049">
        <v>3.8399999999999997E-2</v>
      </c>
      <c r="E95" s="1039">
        <v>3.3599999999999998E-2</v>
      </c>
      <c r="F95" s="1049">
        <v>2.8199999999999999E-2</v>
      </c>
      <c r="G95" s="1049">
        <v>2.5399999999999999E-2</v>
      </c>
      <c r="H95" s="1049">
        <v>2.3400000000000001E-2</v>
      </c>
      <c r="I95" s="1049"/>
      <c r="J95" s="1049"/>
      <c r="K95" s="1049"/>
      <c r="L95" s="1049"/>
      <c r="M95" s="1049"/>
      <c r="N95" s="1035">
        <v>1.9599999999999999E-2</v>
      </c>
      <c r="O95" s="1049">
        <v>1.5900000000000001E-2</v>
      </c>
      <c r="P95" s="1049">
        <v>1.38E-2</v>
      </c>
      <c r="Q95" s="1049">
        <v>1.0500000000000001E-2</v>
      </c>
      <c r="R95" s="1049">
        <v>8.2000000000000007E-3</v>
      </c>
      <c r="S95" s="1034">
        <f t="shared" si="1"/>
        <v>3.8399999999999997E-2</v>
      </c>
      <c r="T95" s="1014">
        <v>9</v>
      </c>
      <c r="U95" s="1014"/>
      <c r="V95" s="1034">
        <v>0</v>
      </c>
      <c r="W95" s="1034">
        <f>IF(C51&lt;=D88,D95,0)</f>
        <v>3.8399999999999997E-2</v>
      </c>
      <c r="X95" s="1034">
        <f>IF(AND(C51&gt;D88,C51&lt;=E88),D95+(C51-D88)*(D95-E95)/(D88-E88),0)</f>
        <v>0</v>
      </c>
      <c r="Y95" s="1034">
        <f>IF(AND(C51&gt;E88,C51&lt;=F88),E95+(C51-E88)*(E95-F95)/(E88-F88),0)</f>
        <v>0</v>
      </c>
      <c r="Z95" s="1034">
        <f>IF(AND(C51&gt;F88,C51&lt;=G88),F95+(C51-F88)*(F95-G95)/(F88-G88),0)</f>
        <v>0</v>
      </c>
      <c r="AA95" s="1034">
        <f>IF(AND(C51&gt;G88,C51&lt;=H88),G95+(C51-G88)*(G95-H95)/(G88-H88),0)</f>
        <v>0</v>
      </c>
      <c r="AB95" s="1034">
        <f>IF(AND(C51&gt;H88,C51&lt;=N88),H95+(C51-H88)*(H95-N95)/(H88-N88),0)</f>
        <v>0</v>
      </c>
      <c r="AC95" s="1034">
        <f>IF(AND(C51&gt;N88,C51&lt;=O88),N95+(C51-N88)*(N95-O95)/(N88-O88),0)</f>
        <v>0</v>
      </c>
      <c r="AD95" s="1034">
        <f>IF(AND(C51&gt;O88,C51&lt;=P88),O95+(C51-O88)*(O95-P95)/(O88-P88),0)</f>
        <v>0</v>
      </c>
      <c r="AE95" s="1034">
        <f>IF(AND(C51&gt;P88,C51&lt;=Q88),P95+(C51-P88)*(P95-Q95)/(P88-Q88),0)</f>
        <v>0</v>
      </c>
      <c r="AF95" s="1034">
        <f>IF(AND(C51&gt;Q88,C51&lt;=R88),Q95+(C51-Q88)*(Q95-R95)/(Q88-R88),0)</f>
        <v>0</v>
      </c>
      <c r="AG95" s="1034">
        <f>IF(C51&gt;=R88,R95,0)</f>
        <v>0</v>
      </c>
      <c r="AH95" s="1008"/>
    </row>
    <row r="96" spans="1:34" ht="12.75" x14ac:dyDescent="0.2">
      <c r="A96" s="1009"/>
      <c r="B96" s="1012" t="s">
        <v>1513</v>
      </c>
      <c r="C96" s="1049">
        <v>3.6299999999999999E-2</v>
      </c>
      <c r="D96" s="1049">
        <v>3.4799999999999998E-2</v>
      </c>
      <c r="E96" s="1039">
        <v>3.0099999999999998E-2</v>
      </c>
      <c r="F96" s="1049">
        <v>2.5399999999999999E-2</v>
      </c>
      <c r="G96" s="1049">
        <v>2.29E-2</v>
      </c>
      <c r="H96" s="1049">
        <v>2.1000000000000001E-2</v>
      </c>
      <c r="I96" s="1049"/>
      <c r="J96" s="1049"/>
      <c r="K96" s="1049"/>
      <c r="L96" s="1049"/>
      <c r="M96" s="1049"/>
      <c r="N96" s="1035">
        <v>1.7899999999999999E-2</v>
      </c>
      <c r="O96" s="1049">
        <v>1.4500000000000001E-2</v>
      </c>
      <c r="P96" s="1049">
        <v>1.24E-2</v>
      </c>
      <c r="Q96" s="1049">
        <v>9.5999999999999992E-3</v>
      </c>
      <c r="R96" s="1049">
        <v>7.3000000000000001E-3</v>
      </c>
      <c r="S96" s="1034">
        <f t="shared" si="1"/>
        <v>3.6299999999999999E-2</v>
      </c>
      <c r="T96" s="1014">
        <v>10</v>
      </c>
      <c r="U96" s="1014"/>
      <c r="V96" s="1034">
        <f>IF(C51&lt;=C88,C96,0)</f>
        <v>3.6299999999999999E-2</v>
      </c>
      <c r="W96" s="1034">
        <f>IF(AND(C51&gt;C88,C51&lt;=D88),C96+(C51-C88)*(C96-D96)/(C88-D88),0)</f>
        <v>0</v>
      </c>
      <c r="X96" s="1034">
        <f>IF(AND(C51&gt;D88,C51&lt;=E88),D96+(C51-D88)*(D96-E96)/(D88-E88),0)</f>
        <v>0</v>
      </c>
      <c r="Y96" s="1034">
        <f>IF(AND(C51&gt;E88,C51&lt;=F88),E96+(C51-E88)*(E96-F96)/(E88-F88),0)</f>
        <v>0</v>
      </c>
      <c r="Z96" s="1034">
        <f>IF(AND(C51&gt;F88,C51&lt;=G88),F96+(C51-F88)*(F96-G96)/(F88-G88),0)</f>
        <v>0</v>
      </c>
      <c r="AA96" s="1034">
        <f>IF(AND(C51&gt;G88,C51&lt;=H88),G96+(C51-G88)*(G96-H96)/(G88-H88),0)</f>
        <v>0</v>
      </c>
      <c r="AB96" s="1034">
        <f>IF(AND(C51&gt;H88,C51&lt;=N88),H96+(C51-H88)*(H96-N96)/(H88-N88),0)</f>
        <v>0</v>
      </c>
      <c r="AC96" s="1034">
        <f>IF(AND(C51&gt;N88,C51&lt;=O88),N96+(C51-N88)*(N96-O96)/(N88-O88),0)</f>
        <v>0</v>
      </c>
      <c r="AD96" s="1034">
        <f>IF(AND(C51&gt;O88,C51&lt;=P88),O96+(C51-O88)*(O96-P96)/(O88-P88),0)</f>
        <v>0</v>
      </c>
      <c r="AE96" s="1034">
        <f>IF(AND(C51&gt;P88,C51&lt;=Q88),P96+(C51-P88)*(P96-Q96)/(P88-Q88),0)</f>
        <v>0</v>
      </c>
      <c r="AF96" s="1034">
        <f>IF(AND(C51&gt;Q88,C51&lt;=R88),Q96+(C51-Q88)*(Q96-R96)/(Q88-R88),0)</f>
        <v>0</v>
      </c>
      <c r="AG96" s="1034">
        <f>IF(C51&gt;=R88,R96,0)</f>
        <v>0</v>
      </c>
      <c r="AH96" s="1008"/>
    </row>
    <row r="97" spans="1:34" ht="12.75" x14ac:dyDescent="0.2">
      <c r="A97" s="1009"/>
      <c r="B97" s="1012" t="s">
        <v>1514</v>
      </c>
      <c r="C97" s="1049">
        <v>3.27E-2</v>
      </c>
      <c r="D97" s="1049">
        <v>3.15E-2</v>
      </c>
      <c r="E97" s="1039">
        <v>2.7300000000000001E-2</v>
      </c>
      <c r="F97" s="1049">
        <v>2.29E-2</v>
      </c>
      <c r="G97" s="1049">
        <v>2.0799999999999999E-2</v>
      </c>
      <c r="H97" s="1049">
        <v>1.9E-2</v>
      </c>
      <c r="I97" s="1049"/>
      <c r="J97" s="1049"/>
      <c r="K97" s="1049"/>
      <c r="L97" s="1049"/>
      <c r="M97" s="1049"/>
      <c r="N97" s="1035">
        <v>1.6199999999999999E-2</v>
      </c>
      <c r="O97" s="1049">
        <v>1.3100000000000001E-2</v>
      </c>
      <c r="P97" s="1049">
        <v>1.11E-2</v>
      </c>
      <c r="Q97" s="1049">
        <v>8.6E-3</v>
      </c>
      <c r="R97" s="1049">
        <v>6.4999999999999997E-3</v>
      </c>
      <c r="S97" s="1034">
        <f t="shared" si="1"/>
        <v>3.27E-2</v>
      </c>
      <c r="T97" s="1014">
        <v>11</v>
      </c>
      <c r="U97" s="1014"/>
      <c r="V97" s="1034">
        <f>IF(C51&lt;=C88,C97,0)</f>
        <v>3.27E-2</v>
      </c>
      <c r="W97" s="1034">
        <f>IF(AND(C51&gt;C88,C51&lt;=D88),C97+(C51-C88)*(C97-D97)/(C88-D88),0)</f>
        <v>0</v>
      </c>
      <c r="X97" s="1034">
        <f>IF(AND(C51&gt;D88,C51&lt;=E88),D97+(C51-D88)*(D97-E97)/(D88-E88),0)</f>
        <v>0</v>
      </c>
      <c r="Y97" s="1034">
        <f>IF(AND(C51&gt;E88,C51&lt;=F88),E97+(C51-E88)*(E97-F97)/(E88-F88),0)</f>
        <v>0</v>
      </c>
      <c r="Z97" s="1034">
        <f>IF(AND(C51&gt;F88,C51&lt;=G88),F97+(C51-F88)*(F97-G97)/(F88-G88),0)</f>
        <v>0</v>
      </c>
      <c r="AA97" s="1034">
        <f>IF(AND(C51&gt;G88,C51&lt;=H88),G97+(C51-G88)*(G97-H97)/(G88-H88),0)</f>
        <v>0</v>
      </c>
      <c r="AB97" s="1034">
        <f>IF(AND(C51&gt;H88,C51&lt;=N88),H97+(C51-H88)*(H97-N97)/(H88-N88),0)</f>
        <v>0</v>
      </c>
      <c r="AC97" s="1034">
        <f>IF(AND(C51&gt;N88,C51&lt;=O88),N97+(C51-N88)*(N97-O97)/(N88-O88),0)</f>
        <v>0</v>
      </c>
      <c r="AD97" s="1034">
        <f>IF(AND(C51&gt;O88,C51&lt;=P88),O97+(C51-O88)*(O97-P97)/(O88-P88),0)</f>
        <v>0</v>
      </c>
      <c r="AE97" s="1034">
        <f>IF(AND(C51&gt;P88,C51&lt;=Q88),P97+(C51-P88)*(P97-Q97)/(P88-Q88),0)</f>
        <v>0</v>
      </c>
      <c r="AF97" s="1034">
        <f>IF(AND(C51&gt;Q88,C51&lt;=R88),Q97+(C51-Q88)*(Q97-R97)/(Q88-R88),0)</f>
        <v>0</v>
      </c>
      <c r="AG97" s="1034">
        <f>IF(C51&gt;=R88,R97,0)</f>
        <v>0</v>
      </c>
      <c r="AH97" s="1008"/>
    </row>
    <row r="98" spans="1:34" ht="12.75" x14ac:dyDescent="0.2">
      <c r="A98" s="1009"/>
      <c r="B98" s="1012" t="s">
        <v>1515</v>
      </c>
      <c r="C98" s="1049">
        <v>2.9000000000000001E-2</v>
      </c>
      <c r="D98" s="1049">
        <v>2.7799999999999998E-2</v>
      </c>
      <c r="E98" s="1039">
        <v>2.4299999999999999E-2</v>
      </c>
      <c r="F98" s="1049">
        <v>1.9099999999999999E-2</v>
      </c>
      <c r="G98" s="1049">
        <v>1.6199999999999999E-2</v>
      </c>
      <c r="H98" s="1049">
        <v>1.37E-2</v>
      </c>
      <c r="I98" s="1049"/>
      <c r="J98" s="1049"/>
      <c r="K98" s="1049"/>
      <c r="L98" s="1049"/>
      <c r="M98" s="1049"/>
      <c r="N98" s="1035">
        <v>1.1599999999999999E-2</v>
      </c>
      <c r="O98" s="1049">
        <v>9.4999999999999998E-3</v>
      </c>
      <c r="P98" s="1049"/>
      <c r="Q98" s="1049"/>
      <c r="R98" s="1045"/>
      <c r="S98" s="1034">
        <f t="shared" si="1"/>
        <v>2.9000000000000001E-2</v>
      </c>
      <c r="T98" s="1014">
        <v>12</v>
      </c>
      <c r="U98" s="1014"/>
      <c r="V98" s="1034">
        <f>IF(C51&lt;=C88,C98,0)</f>
        <v>2.9000000000000001E-2</v>
      </c>
      <c r="W98" s="1034">
        <f>IF(AND(C51&gt;C88,C51&lt;=D88),C98+(C51-C88)*(C98-D98)/(C88-D88),0)</f>
        <v>0</v>
      </c>
      <c r="X98" s="1034">
        <f>IF(AND(C51&gt;D88,C51&lt;=E88),D98+(C51-D88)*(D98-E98)/(D88-E88),0)</f>
        <v>0</v>
      </c>
      <c r="Y98" s="1034">
        <f>IF(AND(C51&gt;E88,C51&lt;=F88),E98+(C51-E88)*(E98-F98)/(E88-F88),0)</f>
        <v>0</v>
      </c>
      <c r="Z98" s="1034">
        <f>IF(AND(C51&gt;F88,C51&lt;=G88),F98+(C51-F88)*(F98-G98)/(F88-G88),0)</f>
        <v>0</v>
      </c>
      <c r="AA98" s="1034">
        <f>IF(AND(C51&gt;G88,C51&lt;=H88),G98+(C51-G88)*(G98-H98)/(G88-H88),0)</f>
        <v>0</v>
      </c>
      <c r="AB98" s="1034">
        <f>IF(AND(C51&gt;H88,C51&lt;=N88),H98+(C51-H88)*(H98-N98)/(H88-N88),0)</f>
        <v>0</v>
      </c>
      <c r="AC98" s="1034">
        <f>IF(AND(C51&gt;N88,C51&lt;=O88),N98+(C51-N88)*(N98-O98)/(N88-O88),0)</f>
        <v>0</v>
      </c>
      <c r="AD98" s="1034">
        <f>IF(C51&gt;=O88,O98,0)</f>
        <v>0</v>
      </c>
      <c r="AE98" s="1034">
        <v>0</v>
      </c>
      <c r="AF98" s="1034">
        <v>0</v>
      </c>
      <c r="AG98" s="1034">
        <v>0</v>
      </c>
      <c r="AH98" s="1008"/>
    </row>
    <row r="99" spans="1:34" ht="12.75" x14ac:dyDescent="0.2">
      <c r="A99" s="1009"/>
      <c r="B99" s="1012" t="s">
        <v>1516</v>
      </c>
      <c r="C99" s="1049"/>
      <c r="D99" s="1049">
        <v>2.7900000000000001E-2</v>
      </c>
      <c r="E99" s="1039">
        <v>2.58E-2</v>
      </c>
      <c r="F99" s="1049">
        <v>2.2100000000000002E-2</v>
      </c>
      <c r="G99" s="1049">
        <v>2.01E-2</v>
      </c>
      <c r="H99" s="1049">
        <v>1.8200000000000001E-2</v>
      </c>
      <c r="I99" s="1049"/>
      <c r="J99" s="1049"/>
      <c r="K99" s="1049"/>
      <c r="L99" s="1049"/>
      <c r="M99" s="1049"/>
      <c r="N99" s="1035">
        <v>1.66E-2</v>
      </c>
      <c r="O99" s="1049">
        <v>1.4500000000000001E-2</v>
      </c>
      <c r="P99" s="1049">
        <v>1.23E-2</v>
      </c>
      <c r="Q99" s="1049">
        <v>9.4999999999999998E-3</v>
      </c>
      <c r="R99" s="1045">
        <v>7.3000000000000001E-3</v>
      </c>
      <c r="S99" s="1034">
        <f t="shared" si="1"/>
        <v>2.7900000000000001E-2</v>
      </c>
      <c r="T99" s="1014">
        <v>14</v>
      </c>
      <c r="U99" s="1047">
        <v>0.6</v>
      </c>
      <c r="V99" s="1034">
        <v>0</v>
      </c>
      <c r="W99" s="1034">
        <f>IF(C51&lt;=D88,D99,0)</f>
        <v>2.7900000000000001E-2</v>
      </c>
      <c r="X99" s="1034">
        <f>IF(AND(C51&gt;D88,C51&lt;=E88),D99+(C51-D88)*(D99-E99)/(D88-E88),0)</f>
        <v>0</v>
      </c>
      <c r="Y99" s="1034">
        <f>IF(AND(C51&gt;E88,C51&lt;=F88),E99+(C51-E88)*(E99-F99)/(E88-F88),0)</f>
        <v>0</v>
      </c>
      <c r="Z99" s="1034">
        <f>IF(AND(C51&gt;F88,C51&lt;=G88),F99+(C51-F88)*(F99-G99)/(F88-G88),0)</f>
        <v>0</v>
      </c>
      <c r="AA99" s="1034">
        <f>IF(AND(C51&gt;G88,C51&lt;=H88),G99+(C51-G88)*(G99-H99)/(G88-H88),0)</f>
        <v>0</v>
      </c>
      <c r="AB99" s="1034">
        <f>IF(AND(C51&gt;H88,C51&lt;=N88),H99+(C51-H88)*(H99-N99)/(H88-N88),0)</f>
        <v>0</v>
      </c>
      <c r="AC99" s="1034">
        <f>IF(AND(C51&gt;N88,C51&lt;=O88),N99+(C51-N88)*(N99-O99)/(N88-O88),0)</f>
        <v>0</v>
      </c>
      <c r="AD99" s="1034">
        <f>IF(AND(C51&gt;O88,C51&lt;=P88),O99+(C51-O88)*(O99-P99)/(O88-P88),0)</f>
        <v>0</v>
      </c>
      <c r="AE99" s="1034">
        <f>IF(AND(C51&gt;P88,C51&lt;=Q88),P99+(C51-P88)*(P99-Q99)/(P88-Q88),0)</f>
        <v>0</v>
      </c>
      <c r="AF99" s="1034">
        <f>IF(AND(C51&gt;Q88,C51&lt;=R88),Q99+(C51-Q88)*(Q99-R99)/(Q88-R88),0)</f>
        <v>0</v>
      </c>
      <c r="AG99" s="1034">
        <f>IF(C51&gt;=R88,R99,0)</f>
        <v>0</v>
      </c>
      <c r="AH99" s="1008"/>
    </row>
    <row r="100" spans="1:34" ht="12.75" x14ac:dyDescent="0.2">
      <c r="A100" s="1009"/>
      <c r="B100" s="1012" t="s">
        <v>1517</v>
      </c>
      <c r="C100" s="1049"/>
      <c r="D100" s="1049">
        <v>2.3300000000000001E-2</v>
      </c>
      <c r="E100" s="1039">
        <v>2.1499999999999998E-2</v>
      </c>
      <c r="F100" s="1049">
        <v>1.83E-2</v>
      </c>
      <c r="G100" s="1049">
        <v>1.67E-2</v>
      </c>
      <c r="H100" s="1049">
        <v>1.5100000000000001E-2</v>
      </c>
      <c r="I100" s="1049"/>
      <c r="J100" s="1049"/>
      <c r="K100" s="1049"/>
      <c r="L100" s="1049"/>
      <c r="M100" s="1049"/>
      <c r="N100" s="1035">
        <v>1.38E-2</v>
      </c>
      <c r="O100" s="1049">
        <v>1.21E-2</v>
      </c>
      <c r="P100" s="1049">
        <v>1.03E-2</v>
      </c>
      <c r="Q100" s="1049">
        <v>7.9000000000000008E-3</v>
      </c>
      <c r="R100" s="1045">
        <v>6.1000000000000004E-3</v>
      </c>
      <c r="S100" s="1034">
        <f t="shared" si="1"/>
        <v>2.3300000000000001E-2</v>
      </c>
      <c r="T100" s="1014">
        <v>15</v>
      </c>
      <c r="U100" s="1047">
        <v>0.6</v>
      </c>
      <c r="V100" s="1034">
        <v>0</v>
      </c>
      <c r="W100" s="1034">
        <f>IF(C51&lt;=D88,D100,0)</f>
        <v>2.3300000000000001E-2</v>
      </c>
      <c r="X100" s="1034">
        <f>IF(AND(C51&gt;D88,C51&lt;=E88),D100+(C51-D88)*(D100-E100)/(D88-E88),0)</f>
        <v>0</v>
      </c>
      <c r="Y100" s="1034">
        <f>IF(AND(C51&gt;E88,C51&lt;=F88),E100+(C51-E88)*(E100-F100)/(E88-F88),0)</f>
        <v>0</v>
      </c>
      <c r="Z100" s="1034">
        <f>IF(AND(C51&gt;F88,C51&lt;=G88),F100+(C51-F88)*(F100-G100)/(F88-G88),0)</f>
        <v>0</v>
      </c>
      <c r="AA100" s="1034">
        <f>IF(AND(C51&gt;G88,C51&lt;=H88),G100+(C51-G88)*(G100-H100)/(G88-H88),0)</f>
        <v>0</v>
      </c>
      <c r="AB100" s="1034">
        <f>IF(AND(C51&gt;H88,C51&lt;=N88),H100+(C51-H88)*(H100-N100)/(H88-N88),0)</f>
        <v>0</v>
      </c>
      <c r="AC100" s="1034">
        <f>IF(AND(C51&gt;N88,C51&lt;=O88),N100+(C51-N88)*(N100-O100)/(N88-O88),0)</f>
        <v>0</v>
      </c>
      <c r="AD100" s="1034">
        <f>IF(AND(C51&gt;O88,C51&lt;=P88),O100+(C51-O88)*(O100-P100)/(O88-P88),0)</f>
        <v>0</v>
      </c>
      <c r="AE100" s="1034">
        <f>IF(AND(C51&gt;P88,C51&lt;=Q88),P100+(C51-P88)*(P100-Q100)/(P88-Q88),0)</f>
        <v>0</v>
      </c>
      <c r="AF100" s="1034">
        <f>IF(AND(C51&gt;Q88,C51&lt;=R88),Q100+(C51-Q88)*(Q100-R100)/(Q88-R88),0)</f>
        <v>0</v>
      </c>
      <c r="AG100" s="1034">
        <f>IF(C51&gt;=R88,R100,0)</f>
        <v>0</v>
      </c>
      <c r="AH100" s="1008"/>
    </row>
    <row r="101" spans="1:34" ht="12.75" x14ac:dyDescent="0.2">
      <c r="A101" s="1009"/>
      <c r="B101" s="1012" t="s">
        <v>1518</v>
      </c>
      <c r="C101" s="1049">
        <v>1.9900000000000001E-2</v>
      </c>
      <c r="D101" s="1049">
        <v>1.9400000000000001E-2</v>
      </c>
      <c r="E101" s="1039">
        <v>1.7899999999999999E-2</v>
      </c>
      <c r="F101" s="1049">
        <v>1.5299999999999999E-2</v>
      </c>
      <c r="G101" s="1049">
        <v>1.3899999999999999E-2</v>
      </c>
      <c r="H101" s="1049">
        <v>1.26E-2</v>
      </c>
      <c r="I101" s="1049"/>
      <c r="J101" s="1049"/>
      <c r="K101" s="1049"/>
      <c r="L101" s="1049"/>
      <c r="M101" s="1049"/>
      <c r="N101" s="1035">
        <v>1.15E-2</v>
      </c>
      <c r="O101" s="1049">
        <v>1.01E-2</v>
      </c>
      <c r="P101" s="1049">
        <v>8.6E-3</v>
      </c>
      <c r="Q101" s="1049">
        <v>6.6E-3</v>
      </c>
      <c r="R101" s="1045">
        <v>5.1000000000000004E-3</v>
      </c>
      <c r="S101" s="1034">
        <f t="shared" si="1"/>
        <v>1.9900000000000001E-2</v>
      </c>
      <c r="T101" s="1014">
        <v>16</v>
      </c>
      <c r="U101" s="1047">
        <v>0.6</v>
      </c>
      <c r="V101" s="1034">
        <f>IF(C51&lt;=C88,C101,0)</f>
        <v>1.9900000000000001E-2</v>
      </c>
      <c r="W101" s="1034">
        <f>IF(AND(C51&gt;C88,C51&lt;=D88),C101+(C51-C88)*(C101-D101)/(C88-D88),0)</f>
        <v>0</v>
      </c>
      <c r="X101" s="1034">
        <f>IF(AND(C51&gt;D88,C51&lt;=E88),D101+(C51-D88)*(D101-E101)/(D88-E88),0)</f>
        <v>0</v>
      </c>
      <c r="Y101" s="1034">
        <f>IF(AND(C51&gt;E88,C51&lt;=F88),E101+(C51-E88)*(E101-F101)/(E88-F88),0)</f>
        <v>0</v>
      </c>
      <c r="Z101" s="1034">
        <f>IF(AND(C51&gt;F88,C51&lt;=G88),F101+(C51-F88)*(F101-G101)/(F88-G88),0)</f>
        <v>0</v>
      </c>
      <c r="AA101" s="1034">
        <f>IF(AND(C51&gt;G88,C51&lt;=H88),G101+(C51-G88)*(G101-H101)/(G88-H88),0)</f>
        <v>0</v>
      </c>
      <c r="AB101" s="1034">
        <f>IF(AND(C51&gt;H88,C51&lt;=N88),H101+(C51-H88)*(H101-N101)/(H88-N88),0)</f>
        <v>0</v>
      </c>
      <c r="AC101" s="1034">
        <f>IF(AND(C51&gt;N88,C51&lt;=O88),N101+(C51-N88)*(N101-O101)/(N88-O88),0)</f>
        <v>0</v>
      </c>
      <c r="AD101" s="1034">
        <f>IF(AND(C51&gt;O88,C51&lt;=P88),O101+(C51-O88)*(O101-P101)/(O88-P88),0)</f>
        <v>0</v>
      </c>
      <c r="AE101" s="1034">
        <f>IF(AND(C51&gt;P88,C51&lt;=Q88),P101+(C51-P88)*(P101-Q101)/(P88-Q88),0)</f>
        <v>0</v>
      </c>
      <c r="AF101" s="1034">
        <f>IF(AND(C51&gt;Q88,C51&lt;=R88),Q101+(C51-Q88)*(Q101-R101)/(Q88-R88),0)</f>
        <v>0</v>
      </c>
      <c r="AG101" s="1034">
        <f>IF(C51&gt;=R88,R101,0)</f>
        <v>0</v>
      </c>
      <c r="AH101" s="1008"/>
    </row>
    <row r="102" spans="1:34" ht="12.75" x14ac:dyDescent="0.2">
      <c r="A102" s="1009"/>
      <c r="B102" s="1012" t="s">
        <v>1519</v>
      </c>
      <c r="C102" s="1049">
        <v>1.7299999999999999E-2</v>
      </c>
      <c r="D102" s="1049">
        <v>1.6899999999999998E-2</v>
      </c>
      <c r="E102" s="1039">
        <v>1.5599999999999999E-2</v>
      </c>
      <c r="F102" s="1049">
        <v>1.32E-2</v>
      </c>
      <c r="G102" s="1049">
        <v>1.2E-2</v>
      </c>
      <c r="H102" s="1049">
        <v>1.0999999999999999E-2</v>
      </c>
      <c r="I102" s="1049"/>
      <c r="J102" s="1049"/>
      <c r="K102" s="1049"/>
      <c r="L102" s="1049"/>
      <c r="M102" s="1049"/>
      <c r="N102" s="1035">
        <v>1.01E-2</v>
      </c>
      <c r="O102" s="1049">
        <v>8.9999999999999993E-3</v>
      </c>
      <c r="P102" s="1049">
        <v>7.7000000000000002E-3</v>
      </c>
      <c r="Q102" s="1049">
        <v>5.8999999999999999E-3</v>
      </c>
      <c r="R102" s="1045">
        <v>4.5999999999999999E-3</v>
      </c>
      <c r="S102" s="1034">
        <f t="shared" si="1"/>
        <v>1.7299999999999999E-2</v>
      </c>
      <c r="T102" s="1014">
        <v>17</v>
      </c>
      <c r="U102" s="1047">
        <v>0.6</v>
      </c>
      <c r="V102" s="1034">
        <f>IF(C51&lt;=C88,C102,0)</f>
        <v>1.7299999999999999E-2</v>
      </c>
      <c r="W102" s="1034">
        <f>IF(AND(C51&gt;C88,C51&lt;=D88),C102+(C51-C88)*(C102-D102)/(C88-D88),0)</f>
        <v>0</v>
      </c>
      <c r="X102" s="1034">
        <f>IF(AND(C51&gt;D88,C51&lt;=E88),D102+(C51-D88)*(D102-E102)/(D88-E88),0)</f>
        <v>0</v>
      </c>
      <c r="Y102" s="1034">
        <f>IF(AND(C51&gt;E88,C51&lt;=F88),E102+(C51-E88)*(E102-F102)/(E88-F88),0)</f>
        <v>0</v>
      </c>
      <c r="Z102" s="1034">
        <f>IF(AND(C51&gt;F88,C51&lt;=G88),F102+(C51-F88)*(F102-G102)/(F88-G88),0)</f>
        <v>0</v>
      </c>
      <c r="AA102" s="1034">
        <f>IF(AND(C51&gt;G88,C51&lt;=H88),G102+(C51-G88)*(G102-H102)/(G88-H88),0)</f>
        <v>0</v>
      </c>
      <c r="AB102" s="1034">
        <f>IF(AND(C51&gt;H88,C51&lt;=N88),H102+(C51-H88)*(H102-N102)/(H88-N88),0)</f>
        <v>0</v>
      </c>
      <c r="AC102" s="1034">
        <f>IF(AND(C51&gt;N88,C51&lt;=O88),N102+(C51-N88)*(N102-O102)/(N88-O88),0)</f>
        <v>0</v>
      </c>
      <c r="AD102" s="1034">
        <f>IF(AND(C51&gt;O88,C51&lt;=P88),O102+(C51-O88)*(O102-P102)/(O88-P88),0)</f>
        <v>0</v>
      </c>
      <c r="AE102" s="1034">
        <f>IF(AND(C51&gt;P88,C51&lt;=Q88),P102+(C51-P88)*(P102-Q102)/(P88-Q88),0)</f>
        <v>0</v>
      </c>
      <c r="AF102" s="1034">
        <f>IF(AND(C51&gt;Q88,C51&lt;=R88),Q102+(C51-Q88)*(Q102-R102)/(Q88-R88),0)</f>
        <v>0</v>
      </c>
      <c r="AG102" s="1034">
        <f>IF(C51&gt;=R88,R102,0)</f>
        <v>0</v>
      </c>
      <c r="AH102" s="1008"/>
    </row>
    <row r="103" spans="1:34" ht="12.75" x14ac:dyDescent="0.2">
      <c r="A103" s="1009"/>
      <c r="B103" s="1012" t="s">
        <v>1520</v>
      </c>
      <c r="C103" s="1049">
        <v>1.54E-2</v>
      </c>
      <c r="D103" s="1049">
        <v>1.4999999999999999E-2</v>
      </c>
      <c r="E103" s="1039">
        <v>1.3899999999999999E-2</v>
      </c>
      <c r="F103" s="1049">
        <v>1.17E-2</v>
      </c>
      <c r="G103" s="1049">
        <v>1.0800000000000001E-2</v>
      </c>
      <c r="H103" s="1049">
        <v>9.1999999999999998E-3</v>
      </c>
      <c r="I103" s="1049"/>
      <c r="J103" s="1049"/>
      <c r="K103" s="1049"/>
      <c r="L103" s="1049"/>
      <c r="M103" s="1049"/>
      <c r="N103" s="1035">
        <v>7.7999999999999996E-3</v>
      </c>
      <c r="O103" s="1049">
        <v>6.7000000000000002E-3</v>
      </c>
      <c r="P103" s="1049"/>
      <c r="Q103" s="1049"/>
      <c r="R103" s="1045"/>
      <c r="S103" s="1034">
        <f t="shared" si="1"/>
        <v>1.54E-2</v>
      </c>
      <c r="T103" s="1014">
        <v>18</v>
      </c>
      <c r="U103" s="1047">
        <v>0.6</v>
      </c>
      <c r="V103" s="1034">
        <f>IF(C51&lt;=C88,C103,0)</f>
        <v>1.54E-2</v>
      </c>
      <c r="W103" s="1034">
        <f>IF(AND(C51&gt;C88,C51&lt;=D88),C103+(C51-C88)*(C103-D103)/(C88-D88),0)</f>
        <v>0</v>
      </c>
      <c r="X103" s="1034">
        <f>IF(AND(C51&gt;D88,C51&lt;=E88),D103+(C51-D88)*(D103-E103)/(D88-E88),0)</f>
        <v>0</v>
      </c>
      <c r="Y103" s="1034">
        <f>IF(AND(C51&gt;E88,C51&lt;=F88),E103+(C51-E88)*(E103-F103)/(E88-F88),0)</f>
        <v>0</v>
      </c>
      <c r="Z103" s="1034">
        <f>IF(AND(C51&gt;F88,C51&lt;=G88),F103+(C51-F88)*(F103-G103)/(F88-G88),0)</f>
        <v>0</v>
      </c>
      <c r="AA103" s="1034">
        <f>IF(AND(C51&gt;G88,C51&lt;=H88),G103+(C51-G88)*(G103-H103)/(G88-H88),0)</f>
        <v>0</v>
      </c>
      <c r="AB103" s="1034">
        <f>IF(AND(C51&gt;H88,C51&lt;=N88),H103+(C51-H88)*(H103-N103)/(H88-N88),0)</f>
        <v>0</v>
      </c>
      <c r="AC103" s="1034">
        <f>IF(AND(C51&gt;N88,C51&lt;=O88),N103+(C51-N88)*(N103-O103)/(N88-O88),0)</f>
        <v>0</v>
      </c>
      <c r="AD103" s="1034">
        <f>IF(C51&gt;=O88,O103,0)</f>
        <v>0</v>
      </c>
      <c r="AE103" s="1034">
        <v>0</v>
      </c>
      <c r="AF103" s="1034">
        <v>0</v>
      </c>
      <c r="AG103" s="1034">
        <v>0</v>
      </c>
      <c r="AH103" s="1008"/>
    </row>
    <row r="104" spans="1:34" ht="12.75" x14ac:dyDescent="0.2">
      <c r="A104" s="1036"/>
      <c r="B104" s="1012" t="s">
        <v>1521</v>
      </c>
      <c r="C104" s="1049"/>
      <c r="D104" s="1049">
        <v>4.6699999999999998E-2</v>
      </c>
      <c r="E104" s="1039">
        <v>4.1200000000000001E-2</v>
      </c>
      <c r="F104" s="1049">
        <v>3.5299999999999998E-2</v>
      </c>
      <c r="G104" s="1049">
        <v>3.2099999999999997E-2</v>
      </c>
      <c r="H104" s="1049">
        <v>2.9100000000000001E-2</v>
      </c>
      <c r="I104" s="1049"/>
      <c r="J104" s="1049"/>
      <c r="K104" s="1049"/>
      <c r="L104" s="1049"/>
      <c r="M104" s="1049"/>
      <c r="N104" s="1035">
        <v>2.6499999999999999E-2</v>
      </c>
      <c r="O104" s="1049">
        <v>2.3199999999999998E-2</v>
      </c>
      <c r="P104" s="1049">
        <v>1.9599999999999999E-2</v>
      </c>
      <c r="Q104" s="1049">
        <v>1.52E-2</v>
      </c>
      <c r="R104" s="1045">
        <v>1.1599999999999999E-2</v>
      </c>
      <c r="S104" s="1034">
        <f t="shared" si="1"/>
        <v>4.6699999999999998E-2</v>
      </c>
      <c r="T104" s="1014">
        <v>20</v>
      </c>
      <c r="U104" s="1014"/>
      <c r="V104" s="1034">
        <v>0</v>
      </c>
      <c r="W104" s="1034">
        <f>IF(C51&lt;=D88,D104,0)</f>
        <v>4.6699999999999998E-2</v>
      </c>
      <c r="X104" s="1034">
        <f>IF(AND(C51&gt;D88,C51&lt;=E88),D104+(C51-D88)*(D104-E104)/(D88-E88),0)</f>
        <v>0</v>
      </c>
      <c r="Y104" s="1034">
        <f>IF(AND(C51&gt;E88,C51&lt;=F88),E104+(C51-E88)*(E104-F104)/(E88-F88),0)</f>
        <v>0</v>
      </c>
      <c r="Z104" s="1034">
        <f>IF(AND(C51&gt;F88,C51&lt;=G88),F104+(C51-F88)*(F104-G104)/(F88-G88),0)</f>
        <v>0</v>
      </c>
      <c r="AA104" s="1034">
        <f>IF(AND(C51&gt;G88,C51&lt;=H88),G104+(C51-G88)*(G104-H104)/(G88-H88),0)</f>
        <v>0</v>
      </c>
      <c r="AB104" s="1034">
        <f>IF(AND(C51&gt;H88,C51&lt;=N88),H104+(C51-H88)*(H104-N104)/(H88-N88),0)</f>
        <v>0</v>
      </c>
      <c r="AC104" s="1034">
        <f>IF(AND(C51&gt;N88,C51&lt;=O88),N104+(C51-N88)*(N104-O104)/(N88-O88),0)</f>
        <v>0</v>
      </c>
      <c r="AD104" s="1034">
        <f>IF(AND(C51&gt;O88,C51&lt;=P88),O104+(C51-O88)*(O104-P104)/(O88-P88),0)</f>
        <v>0</v>
      </c>
      <c r="AE104" s="1034">
        <f>IF(AND(C51&gt;P88,C51&lt;=Q88),P104+(C51-P88)*(P104-Q104)/(P88-Q88),0)</f>
        <v>0</v>
      </c>
      <c r="AF104" s="1034">
        <f>IF(AND(C51&gt;Q88,C51&lt;=R88),Q104+(C51-Q88)*(Q104-R104)/(Q88-R88),0)</f>
        <v>0</v>
      </c>
      <c r="AG104" s="1034">
        <f>IF(C51&gt;=R88,R104,0)</f>
        <v>0</v>
      </c>
      <c r="AH104" s="1008"/>
    </row>
    <row r="105" spans="1:34" ht="12.75" x14ac:dyDescent="0.2">
      <c r="A105" s="1036"/>
      <c r="B105" s="1012" t="s">
        <v>1522</v>
      </c>
      <c r="C105" s="1048"/>
      <c r="D105" s="1049">
        <v>3.73E-2</v>
      </c>
      <c r="E105" s="1039">
        <v>3.44E-2</v>
      </c>
      <c r="F105" s="1049">
        <v>2.92E-2</v>
      </c>
      <c r="G105" s="1049">
        <v>2.6700000000000002E-2</v>
      </c>
      <c r="H105" s="1049">
        <v>2.41E-2</v>
      </c>
      <c r="I105" s="1049"/>
      <c r="J105" s="1049"/>
      <c r="K105" s="1049"/>
      <c r="L105" s="1049"/>
      <c r="M105" s="1049"/>
      <c r="N105" s="1035">
        <v>2.1999999999999999E-2</v>
      </c>
      <c r="O105" s="1049">
        <v>1.9300000000000001E-2</v>
      </c>
      <c r="P105" s="1049">
        <v>1.6400000000000001E-2</v>
      </c>
      <c r="Q105" s="1049">
        <v>1.26E-2</v>
      </c>
      <c r="R105" s="1045">
        <v>9.7000000000000003E-3</v>
      </c>
      <c r="S105" s="1034">
        <f t="shared" si="1"/>
        <v>3.73E-2</v>
      </c>
      <c r="T105" s="1014">
        <v>21</v>
      </c>
      <c r="U105" s="1014"/>
      <c r="V105" s="1034">
        <v>0</v>
      </c>
      <c r="W105" s="1034">
        <f>IF(C51&lt;=D88,D105,0)</f>
        <v>3.73E-2</v>
      </c>
      <c r="X105" s="1034">
        <f>IF(AND(C51&gt;D88,C51&lt;=E88),D105+(C51-D88)*(D105-E105)/(D88-E88),0)</f>
        <v>0</v>
      </c>
      <c r="Y105" s="1034">
        <f>IF(AND(C51&gt;E88,C51&lt;=F88),E105+(C51-E88)*(E105-F105)/(E88-F88),0)</f>
        <v>0</v>
      </c>
      <c r="Z105" s="1034">
        <f>IF(AND(C51&gt;F88,C51&lt;=G88),F105+(C51-F88)*(F105-G105)/(F88-G88),0)</f>
        <v>0</v>
      </c>
      <c r="AA105" s="1034">
        <f>IF(AND(C51&gt;G88,C51&lt;=H88),G105+(C51-G88)*(G105-H105)/(G88-H88),0)</f>
        <v>0</v>
      </c>
      <c r="AB105" s="1034">
        <f>IF(AND(C51&gt;H88,C51&lt;=N88),H105+(C51-H88)*(H105-N105)/(H88-N88),0)</f>
        <v>0</v>
      </c>
      <c r="AC105" s="1034">
        <f>IF(AND(C51&gt;N88,C51&lt;=O88),N105+(C51-N88)*(N105-O105)/(N88-O88),0)</f>
        <v>0</v>
      </c>
      <c r="AD105" s="1034">
        <f>IF(AND(C51&gt;O88,C51&lt;=P88),O105+(C51-O88)*(O105-P105)/(O88-P88),0)</f>
        <v>0</v>
      </c>
      <c r="AE105" s="1034">
        <f>IF(AND(C51&gt;P88,C51&lt;=Q88),P105+(C51-P88)*(P105-Q105)/(P88-Q88),0)</f>
        <v>0</v>
      </c>
      <c r="AF105" s="1034">
        <f>IF(AND(C51&gt;Q88,C51&lt;=R88),Q105+(C51-Q88)*(Q105-R105)/(Q88-R88),0)</f>
        <v>0</v>
      </c>
      <c r="AG105" s="1034">
        <f>IF(C51&gt;=R88,R105,0)</f>
        <v>0</v>
      </c>
      <c r="AH105" s="1008"/>
    </row>
    <row r="106" spans="1:34" ht="12.75" x14ac:dyDescent="0.2">
      <c r="A106" s="1009"/>
      <c r="B106" s="1012" t="s">
        <v>1523</v>
      </c>
      <c r="C106" s="1049">
        <v>3.0700000000000002E-2</v>
      </c>
      <c r="D106" s="1049">
        <v>2.9899999999999999E-2</v>
      </c>
      <c r="E106" s="1039">
        <v>2.76E-2</v>
      </c>
      <c r="F106" s="1049">
        <v>2.35E-2</v>
      </c>
      <c r="G106" s="1049">
        <v>2.1499999999999998E-2</v>
      </c>
      <c r="H106" s="1049">
        <v>1.9400000000000001E-2</v>
      </c>
      <c r="I106" s="1049"/>
      <c r="J106" s="1049"/>
      <c r="K106" s="1049"/>
      <c r="L106" s="1049"/>
      <c r="M106" s="1049"/>
      <c r="N106" s="1035">
        <v>1.77E-2</v>
      </c>
      <c r="O106" s="1049">
        <v>1.55E-2</v>
      </c>
      <c r="P106" s="1049">
        <v>1.32E-2</v>
      </c>
      <c r="Q106" s="1049">
        <v>1.0200000000000001E-2</v>
      </c>
      <c r="R106" s="1045">
        <v>7.7999999999999996E-3</v>
      </c>
      <c r="S106" s="1034">
        <f t="shared" si="1"/>
        <v>3.0700000000000002E-2</v>
      </c>
      <c r="T106" s="1014">
        <v>22</v>
      </c>
      <c r="U106" s="1014"/>
      <c r="V106" s="1034">
        <f>IF(C51&lt;=C88,C106,0)</f>
        <v>3.0700000000000002E-2</v>
      </c>
      <c r="W106" s="1034">
        <f>IF(AND(C51&gt;C88,C51&lt;=D88),C106+(C51-C88)*(C106-D106)/(C88-D88),0)</f>
        <v>0</v>
      </c>
      <c r="X106" s="1034">
        <f>IF(AND(C51&gt;D88,C51&lt;=E88),D106+(C51-D88)*(D106-E106)/(D88-E88),0)</f>
        <v>0</v>
      </c>
      <c r="Y106" s="1034">
        <f>IF(AND(C51&gt;E88,C51&lt;=F88),E106+(C51-E88)*(E106-F106)/(E88-F88),0)</f>
        <v>0</v>
      </c>
      <c r="Z106" s="1034">
        <f>IF(AND(C51&gt;F88,C51&lt;=G88),F106+(C51-F88)*(F106-G106)/(F88-G88),0)</f>
        <v>0</v>
      </c>
      <c r="AA106" s="1034">
        <f>IF(AND(C51&gt;G88,C51&lt;=H88),G106+(C51-G88)*(G106-H106)/(G88-H88),0)</f>
        <v>0</v>
      </c>
      <c r="AB106" s="1034">
        <f>IF(AND(C51&gt;H88,C51&lt;=N88),H106+(C51-H88)*(H106-N106)/(H88-N88),0)</f>
        <v>0</v>
      </c>
      <c r="AC106" s="1034">
        <f>IF(AND(C51&gt;N88,C51&lt;=O88),N106+(C51-N88)*(N106-O106)/(N88-O88),0)</f>
        <v>0</v>
      </c>
      <c r="AD106" s="1034">
        <f>IF(AND(C51&gt;O88,C51&lt;=P88),O106+(C51-O88)*(O106-P106)/(O88-P88),0)</f>
        <v>0</v>
      </c>
      <c r="AE106" s="1034">
        <f>IF(AND(C51&gt;P88,C51&lt;=Q88),P106+(C51-P88)*(P106-Q106)/(P88-Q88),0)</f>
        <v>0</v>
      </c>
      <c r="AF106" s="1034">
        <f>IF(AND(C51&gt;Q88,C51&lt;=R88),Q106+(C51-Q88)*(Q106-R106)/(Q88-R88),0)</f>
        <v>0</v>
      </c>
      <c r="AG106" s="1034">
        <f>IF(C51&gt;=R88,R106,0)</f>
        <v>0</v>
      </c>
      <c r="AH106" s="1008"/>
    </row>
    <row r="107" spans="1:34" ht="12.75" x14ac:dyDescent="0.2">
      <c r="A107" s="1009"/>
      <c r="B107" s="1012" t="s">
        <v>1524</v>
      </c>
      <c r="C107" s="1049">
        <v>2.76E-2</v>
      </c>
      <c r="D107" s="1049">
        <v>2.69E-2</v>
      </c>
      <c r="E107" s="1039">
        <v>2.4899999999999999E-2</v>
      </c>
      <c r="F107" s="1049">
        <v>2.1100000000000001E-2</v>
      </c>
      <c r="G107" s="1049">
        <v>1.9199999999999998E-2</v>
      </c>
      <c r="H107" s="1049">
        <v>1.7500000000000002E-2</v>
      </c>
      <c r="I107" s="1049"/>
      <c r="J107" s="1049"/>
      <c r="K107" s="1049"/>
      <c r="L107" s="1049"/>
      <c r="M107" s="1049"/>
      <c r="N107" s="1035">
        <v>1.61E-2</v>
      </c>
      <c r="O107" s="1049">
        <v>1.44E-2</v>
      </c>
      <c r="P107" s="1049">
        <v>1.2200000000000001E-2</v>
      </c>
      <c r="Q107" s="1049">
        <v>9.4000000000000004E-3</v>
      </c>
      <c r="R107" s="1045">
        <v>7.1999999999999998E-3</v>
      </c>
      <c r="S107" s="1034">
        <f t="shared" si="1"/>
        <v>2.76E-2</v>
      </c>
      <c r="T107" s="1014">
        <v>23</v>
      </c>
      <c r="U107" s="1014"/>
      <c r="V107" s="1034">
        <f>IF(C51&lt;=C88,C107,0)</f>
        <v>2.76E-2</v>
      </c>
      <c r="W107" s="1034">
        <f>IF(AND(C51&gt;C88,C51&lt;=D88),C107+(C51-C88)*(C107-D107)/(C88-D88),0)</f>
        <v>0</v>
      </c>
      <c r="X107" s="1034">
        <f>IF(AND(C51&gt;D88,C51&lt;=E88),D107+(C51-D88)*(D107-E107)/(D88-E88),0)</f>
        <v>0</v>
      </c>
      <c r="Y107" s="1034">
        <f>IF(AND(C51&gt;E88,C51&lt;=F88),E107+(C51-E88)*(E107-F107)/(E88-F88),0)</f>
        <v>0</v>
      </c>
      <c r="Z107" s="1034">
        <f>IF(AND(C51&gt;F88,C51&lt;=G88),F107+(C51-F88)*(F107-G107)/(F88-G88),0)</f>
        <v>0</v>
      </c>
      <c r="AA107" s="1034">
        <f>IF(AND(C51&gt;G88,C51&lt;=H88),G107+(C51-G88)*(G107-H107)/(G88-H88),0)</f>
        <v>0</v>
      </c>
      <c r="AB107" s="1034">
        <f>IF(AND(C51&gt;H88,C51&lt;=N88),H107+(C51-H88)*(H107-N107)/(H88-N88),0)</f>
        <v>0</v>
      </c>
      <c r="AC107" s="1034">
        <f>IF(AND(C51&gt;N88,C51&lt;=O88),N107+(C51-N88)*(N107-O107)/(N88-O88),0)</f>
        <v>0</v>
      </c>
      <c r="AD107" s="1034">
        <f>IF(AND(C51&gt;O88,C51&lt;=P88),O107+(C51-O88)*(O107-P107)/(O88-P88),0)</f>
        <v>0</v>
      </c>
      <c r="AE107" s="1034">
        <f>IF(AND(C51&gt;P88,C51&lt;=Q88),P107+(C51-P88)*(P107-Q107)/(P88-Q88),0)</f>
        <v>0</v>
      </c>
      <c r="AF107" s="1034">
        <f>IF(AND(C51&gt;Q88,C51&lt;=R88),Q107+(C51-Q88)*(Q107-R107)/(Q88-R88),0)</f>
        <v>0</v>
      </c>
      <c r="AG107" s="1034">
        <f>IF(C51&gt;=R88,R107,0)</f>
        <v>0</v>
      </c>
      <c r="AH107" s="1008"/>
    </row>
    <row r="108" spans="1:34" ht="12.75" x14ac:dyDescent="0.2">
      <c r="A108" s="1009"/>
      <c r="B108" s="1012" t="s">
        <v>1525</v>
      </c>
      <c r="C108" s="1049">
        <v>2.4500000000000001E-2</v>
      </c>
      <c r="D108" s="1049">
        <v>2.3900000000000001E-2</v>
      </c>
      <c r="E108" s="1039">
        <v>2.2100000000000002E-2</v>
      </c>
      <c r="F108" s="1049">
        <v>1.8700000000000001E-2</v>
      </c>
      <c r="G108" s="1049">
        <v>1.72E-2</v>
      </c>
      <c r="H108" s="1049">
        <v>1.46E-2</v>
      </c>
      <c r="I108" s="1049"/>
      <c r="J108" s="1049"/>
      <c r="K108" s="1049"/>
      <c r="L108" s="1049"/>
      <c r="M108" s="1049"/>
      <c r="N108" s="1035">
        <v>1.24E-2</v>
      </c>
      <c r="O108" s="1049">
        <v>1.06E-2</v>
      </c>
      <c r="P108" s="1049"/>
      <c r="Q108" s="1049"/>
      <c r="R108" s="1045"/>
      <c r="S108" s="1034">
        <f t="shared" si="1"/>
        <v>2.4500000000000001E-2</v>
      </c>
      <c r="T108" s="1014">
        <v>24</v>
      </c>
      <c r="U108" s="1014"/>
      <c r="V108" s="1034">
        <f>IF(C51&lt;=C88,C108,0)</f>
        <v>2.4500000000000001E-2</v>
      </c>
      <c r="W108" s="1034">
        <f>IF(AND(C51&gt;C88,C51&lt;=D88),C108+(C51-C88)*(C108-D108)/(C88-D88),0)</f>
        <v>0</v>
      </c>
      <c r="X108" s="1034">
        <f>IF(AND(C51&gt;D88,C51&lt;=E88),D108+(C51-D88)*(D108-E108)/(D88-E88),0)</f>
        <v>0</v>
      </c>
      <c r="Y108" s="1034">
        <f>IF(AND(C51&gt;E88,C51&lt;=F88),E108+(C51-E88)*(E108-F108)/(E88-F88),0)</f>
        <v>0</v>
      </c>
      <c r="Z108" s="1034">
        <f>IF(AND(C51&gt;F88,C51&lt;=G88),F108+(C51-F88)*(F108-G108)/(F88-G88),0)</f>
        <v>0</v>
      </c>
      <c r="AA108" s="1034">
        <f>IF(AND(C51&gt;G88,C51&lt;=H88),G108+(C51-G88)*(G108-H108)/(G88-H88),0)</f>
        <v>0</v>
      </c>
      <c r="AB108" s="1034">
        <f>IF(AND(C51&gt;H88,C51&lt;=N88),H108+(C51-H88)*(H108-N108)/(H88-N88),0)</f>
        <v>0</v>
      </c>
      <c r="AC108" s="1034">
        <f>IF(AND(C51&gt;N88,C51&lt;=O88),N108+(C51-N88)*(N108-O108)/(N88-O88),0)</f>
        <v>0</v>
      </c>
      <c r="AD108" s="1034">
        <f>IF(C51&gt;=O88,O108,0)</f>
        <v>0</v>
      </c>
      <c r="AE108" s="1034">
        <v>0</v>
      </c>
      <c r="AF108" s="1034">
        <v>0</v>
      </c>
      <c r="AG108" s="1034">
        <v>0</v>
      </c>
      <c r="AH108" s="1008"/>
    </row>
    <row r="109" spans="1:34" ht="12.75" x14ac:dyDescent="0.2">
      <c r="A109" s="1009"/>
      <c r="B109" s="1012" t="s">
        <v>1526</v>
      </c>
      <c r="C109" s="1049"/>
      <c r="D109" s="1049">
        <v>1.8100000000000002E-2</v>
      </c>
      <c r="E109" s="1039">
        <v>1.67E-2</v>
      </c>
      <c r="F109" s="1049">
        <v>1.46E-2</v>
      </c>
      <c r="G109" s="1049">
        <v>1.26E-2</v>
      </c>
      <c r="H109" s="1050">
        <v>1.145E-2</v>
      </c>
      <c r="I109" s="1050"/>
      <c r="J109" s="1050"/>
      <c r="K109" s="1050"/>
      <c r="L109" s="1050"/>
      <c r="M109" s="1050"/>
      <c r="N109" s="1035">
        <v>1.06E-2</v>
      </c>
      <c r="O109" s="1049">
        <v>9.1000000000000004E-3</v>
      </c>
      <c r="P109" s="1049">
        <v>7.6E-3</v>
      </c>
      <c r="Q109" s="1049">
        <v>5.7999999999999996E-3</v>
      </c>
      <c r="R109" s="1045">
        <v>4.4000000000000003E-3</v>
      </c>
      <c r="S109" s="1034">
        <f t="shared" si="1"/>
        <v>1.8100000000000002E-2</v>
      </c>
      <c r="T109" s="1014">
        <v>26</v>
      </c>
      <c r="U109" s="1047">
        <v>0.55000000000000004</v>
      </c>
      <c r="V109" s="1034">
        <v>0</v>
      </c>
      <c r="W109" s="1034">
        <f>IF(C51&lt;=D88,D109,0)</f>
        <v>1.8100000000000002E-2</v>
      </c>
      <c r="X109" s="1034">
        <f>IF(AND(C51&gt;D88,C51&lt;=E88),D109+(C51-D88)*(D109-E109)/(D88-E88),0)</f>
        <v>0</v>
      </c>
      <c r="Y109" s="1034">
        <f>IF(AND(C51&gt;E88,C51&lt;=F88),E109+(C51-E88)*(E109-F109)/(E88-F88),0)</f>
        <v>0</v>
      </c>
      <c r="Z109" s="1034">
        <f>IF(AND(C51&gt;F88,C51&lt;=G88),F109+(C51-F88)*(F109-G109)/(F88-G88),0)</f>
        <v>0</v>
      </c>
      <c r="AA109" s="1034">
        <f>IF(AND(C51&gt;G88,C51&lt;=H88),G109+(C51-G88)*(G109-H109)/(G88-H88),0)</f>
        <v>0</v>
      </c>
      <c r="AB109" s="1034">
        <f>IF(AND(C51&gt;H88,C51&lt;=N88),H109+(C51-H88)*(H109-N109)/(H88-N88),0)</f>
        <v>0</v>
      </c>
      <c r="AC109" s="1034">
        <f>IF(AND(C51&gt;N88,C51&lt;=O88),N109+(C51-N88)*(N109-O109)/(N88-O88),0)</f>
        <v>0</v>
      </c>
      <c r="AD109" s="1034">
        <f>IF(AND(C51&gt;O88,C51&lt;=P88),O109+(C51-O88)*(O109-P109)/(O88-P88),0)</f>
        <v>0</v>
      </c>
      <c r="AE109" s="1034">
        <f>IF(AND(C51&gt;P88,C51&lt;=Q88),P109+(C51-P88)*(P109-Q109)/(P88-Q88),0)</f>
        <v>0</v>
      </c>
      <c r="AF109" s="1034">
        <f>IF(AND(C51&gt;Q88,C51&lt;=R88),Q109+(C51-Q88)*(Q109-R109)/(Q88-R88),0)</f>
        <v>0</v>
      </c>
      <c r="AG109" s="1034">
        <f>IF(C51&gt;=R88,R109,0)</f>
        <v>0</v>
      </c>
      <c r="AH109" s="1008"/>
    </row>
    <row r="110" spans="1:34" ht="12.75" x14ac:dyDescent="0.2">
      <c r="A110" s="1009"/>
      <c r="B110" s="1012" t="s">
        <v>1527</v>
      </c>
      <c r="C110" s="1049"/>
      <c r="D110" s="1049">
        <v>1.11E-2</v>
      </c>
      <c r="E110" s="1039">
        <v>1.0500000000000001E-2</v>
      </c>
      <c r="F110" s="1049">
        <v>8.6999999999999994E-3</v>
      </c>
      <c r="G110" s="1049">
        <v>8.0999999999999996E-3</v>
      </c>
      <c r="H110" s="1049">
        <v>7.3000000000000001E-3</v>
      </c>
      <c r="I110" s="1049"/>
      <c r="J110" s="1049"/>
      <c r="K110" s="1049"/>
      <c r="L110" s="1049"/>
      <c r="M110" s="1049"/>
      <c r="N110" s="1035">
        <v>6.7000000000000002E-3</v>
      </c>
      <c r="O110" s="1049">
        <v>5.7000000000000002E-3</v>
      </c>
      <c r="P110" s="1049">
        <v>4.7999999999999996E-3</v>
      </c>
      <c r="Q110" s="1049">
        <v>3.7000000000000002E-3</v>
      </c>
      <c r="R110" s="1045">
        <v>2.8E-3</v>
      </c>
      <c r="S110" s="1034">
        <f t="shared" si="1"/>
        <v>1.11E-2</v>
      </c>
      <c r="T110" s="1014">
        <v>27</v>
      </c>
      <c r="U110" s="1047">
        <v>0.55000000000000004</v>
      </c>
      <c r="V110" s="1034">
        <v>0</v>
      </c>
      <c r="W110" s="1034">
        <f>IF(C51&lt;=D88,D110,0)</f>
        <v>1.11E-2</v>
      </c>
      <c r="X110" s="1034">
        <f>IF(AND(C51&gt;D88,C51&lt;=E88),D110+(C51-D88)*(D110-E110)/(D88-E88),0)</f>
        <v>0</v>
      </c>
      <c r="Y110" s="1034">
        <f>IF(AND(C51&gt;E88,C51&lt;=F88),E110+(C51-E88)*(E110-F110)/(E88-F88),0)</f>
        <v>0</v>
      </c>
      <c r="Z110" s="1034">
        <f>IF(AND(C51&gt;F88,C51&lt;=G88),F110+(C51-F88)*(F110-G110)/(F88-G88),0)</f>
        <v>0</v>
      </c>
      <c r="AA110" s="1034">
        <f>IF(AND(C51&gt;G88,C51&lt;=H88),G110+(C51-G88)*(G110-H110)/(G88-H88),0)</f>
        <v>0</v>
      </c>
      <c r="AB110" s="1034">
        <f>IF(AND(C51&gt;H88,C51&lt;=N88),H110+(C51-H88)*(H110-N110)/(H88-N88),0)</f>
        <v>0</v>
      </c>
      <c r="AC110" s="1034">
        <f>IF(AND(C51&gt;N88,C51&lt;=O88),N110+(C51-N88)*(N110-O110)/(N88-O88),0)</f>
        <v>0</v>
      </c>
      <c r="AD110" s="1034">
        <f>IF(AND(C51&gt;O88,C51&lt;=P88),O110+(C51-O88)*(O110-P110)/(O88-P88),0)</f>
        <v>0</v>
      </c>
      <c r="AE110" s="1034">
        <f>IF(AND(C51&gt;P88,C51&lt;=Q88),P110+(C51-P88)*(P110-Q110)/(P88-Q88),0)</f>
        <v>0</v>
      </c>
      <c r="AF110" s="1034">
        <f>IF(AND(C51&gt;Q88,C51&lt;=R88),Q110+(C51-Q88)*(Q110-R110)/(Q88-R88),0)</f>
        <v>0</v>
      </c>
      <c r="AG110" s="1034">
        <f>IF(C51&gt;=R88,R110,0)</f>
        <v>0</v>
      </c>
      <c r="AH110" s="1008"/>
    </row>
    <row r="111" spans="1:34" ht="12.75" x14ac:dyDescent="0.2">
      <c r="A111" s="1009"/>
      <c r="B111" s="1012" t="s">
        <v>1528</v>
      </c>
      <c r="C111" s="1049">
        <v>1.04E-2</v>
      </c>
      <c r="D111" s="1049">
        <v>1.01E-2</v>
      </c>
      <c r="E111" s="1039">
        <v>9.4000000000000004E-3</v>
      </c>
      <c r="F111" s="1049">
        <v>8.0000000000000002E-3</v>
      </c>
      <c r="G111" s="1049">
        <v>7.3000000000000001E-3</v>
      </c>
      <c r="H111" s="1049">
        <v>6.7000000000000002E-3</v>
      </c>
      <c r="I111" s="1049"/>
      <c r="J111" s="1049"/>
      <c r="K111" s="1049"/>
      <c r="L111" s="1049"/>
      <c r="M111" s="1049"/>
      <c r="N111" s="1035">
        <v>6.1000000000000004E-3</v>
      </c>
      <c r="O111" s="1049">
        <v>5.1999999999999998E-3</v>
      </c>
      <c r="P111" s="1049">
        <v>4.4000000000000003E-3</v>
      </c>
      <c r="Q111" s="1049">
        <v>3.3999999999999998E-3</v>
      </c>
      <c r="R111" s="1045">
        <v>2.5999999999999999E-3</v>
      </c>
      <c r="S111" s="1034">
        <f t="shared" si="1"/>
        <v>1.04E-2</v>
      </c>
      <c r="T111" s="1014">
        <v>28</v>
      </c>
      <c r="U111" s="1047">
        <v>0.55000000000000004</v>
      </c>
      <c r="V111" s="1034">
        <f>IF(C51&lt;=C88,C111,0)</f>
        <v>1.04E-2</v>
      </c>
      <c r="W111" s="1034">
        <f>IF(AND(C51&gt;C88,C51&lt;=D88),C111+(C51-C88)*(C111-D111)/(C88-D88),0)</f>
        <v>0</v>
      </c>
      <c r="X111" s="1034">
        <f>IF(AND(C51&gt;D88,C51&lt;=E88),D111+(C51-D88)*(D111-E111)/(D88-E88),0)</f>
        <v>0</v>
      </c>
      <c r="Y111" s="1034">
        <f>IF(AND(C51&gt;E88,C51&lt;=F88),E111+(C51-E88)*(E111-F111)/(E88-F88),0)</f>
        <v>0</v>
      </c>
      <c r="Z111" s="1034">
        <f>IF(AND(C51&gt;F88,C51&lt;=G88),F111+(C51-F88)*(F111-G111)/(F88-G88),0)</f>
        <v>0</v>
      </c>
      <c r="AA111" s="1034">
        <f>IF(AND(C51&gt;G88,C51&lt;=H88),G111+(C51-G88)*(G111-H111)/(G88-H88),0)</f>
        <v>0</v>
      </c>
      <c r="AB111" s="1034">
        <f>IF(AND(C51&gt;H88,C51&lt;=N88),H111+(C51-H88)*(H111-N111)/(H88-N88),0)</f>
        <v>0</v>
      </c>
      <c r="AC111" s="1034">
        <f>IF(AND(C51&gt;N88,C51&lt;=O88),N111+(C51-N88)*(N111-O111)/(N88-O88),0)</f>
        <v>0</v>
      </c>
      <c r="AD111" s="1034">
        <f>IF(AND(C51&gt;O88,C51&lt;=P88),O111+(C51-O88)*(O111-P111)/(O88-P88),0)</f>
        <v>0</v>
      </c>
      <c r="AE111" s="1034">
        <f>IF(AND(C51&gt;P88,C51&lt;=Q88),P111+(C51-P88)*(P111-Q111)/(P88-Q88),0)</f>
        <v>0</v>
      </c>
      <c r="AF111" s="1034">
        <f>IF(AND(C51&gt;Q88,C51&lt;=R88),Q111+(C51-Q88)*(Q111-R111)/(Q88-R88),0)</f>
        <v>0</v>
      </c>
      <c r="AG111" s="1034">
        <f>IF(C51&gt;=R88,R111,0)</f>
        <v>0</v>
      </c>
      <c r="AH111" s="1008"/>
    </row>
    <row r="112" spans="1:34" ht="12.75" x14ac:dyDescent="0.2">
      <c r="A112" s="1009"/>
      <c r="B112" s="1012" t="s">
        <v>1529</v>
      </c>
      <c r="C112" s="1049">
        <v>9.4999999999999998E-3</v>
      </c>
      <c r="D112" s="1049">
        <v>9.1999999999999998E-3</v>
      </c>
      <c r="E112" s="1039">
        <v>8.5000000000000006E-3</v>
      </c>
      <c r="F112" s="1049">
        <v>7.3000000000000001E-3</v>
      </c>
      <c r="G112" s="1049">
        <v>6.7000000000000002E-3</v>
      </c>
      <c r="H112" s="1049">
        <v>6.1000000000000004E-3</v>
      </c>
      <c r="I112" s="1049"/>
      <c r="J112" s="1049"/>
      <c r="K112" s="1049"/>
      <c r="L112" s="1049"/>
      <c r="M112" s="1049"/>
      <c r="N112" s="1035">
        <v>5.0000000000000001E-3</v>
      </c>
      <c r="O112" s="1049">
        <v>4.1999999999999997E-3</v>
      </c>
      <c r="P112" s="1049">
        <v>2.3999999999999998E-3</v>
      </c>
      <c r="Q112" s="1049">
        <v>2.8E-3</v>
      </c>
      <c r="R112" s="1045">
        <v>2.0999999999999999E-3</v>
      </c>
      <c r="S112" s="1034">
        <f t="shared" si="1"/>
        <v>9.4999999999999998E-3</v>
      </c>
      <c r="T112" s="1014">
        <v>29</v>
      </c>
      <c r="U112" s="1047">
        <v>0.55000000000000004</v>
      </c>
      <c r="V112" s="1034">
        <f>IF(C51&lt;=C88,C112,0)</f>
        <v>9.4999999999999998E-3</v>
      </c>
      <c r="W112" s="1034">
        <f>IF(AND(C51&gt;C88,C51&lt;=D88),C112+(C51-C88)*(C112-D112)/(C88-D88),0)</f>
        <v>0</v>
      </c>
      <c r="X112" s="1034">
        <f>IF(AND(C51&gt;D88,C51&lt;=E88),D112+(C51-D88)*(D112-E112)/(D88-E88),0)</f>
        <v>0</v>
      </c>
      <c r="Y112" s="1034">
        <f>IF(AND(C51&gt;E88,C51&lt;=F88),E112+(C51-E88)*(E112-F112)/(E88-F88),0)</f>
        <v>0</v>
      </c>
      <c r="Z112" s="1034">
        <f>IF(AND(C51&gt;F88,C51&lt;=G88),F112+(C51-F88)*(F112-G112)/(F88-G88),0)</f>
        <v>0</v>
      </c>
      <c r="AA112" s="1034">
        <f>IF(AND(C51&gt;G88,C51&lt;=H88),G112+(C51-G88)*(G112-H112)/(G88-H88),0)</f>
        <v>0</v>
      </c>
      <c r="AB112" s="1034">
        <f>IF(AND(C51&gt;H88,C51&lt;=N88),H112+(C51-H88)*(H112-N112)/(H88-N88),0)</f>
        <v>0</v>
      </c>
      <c r="AC112" s="1034">
        <f>IF(AND(C51&gt;N88,C51&lt;=O88),N112+(C51-N88)*(N112-O112)/(N88-O88),0)</f>
        <v>0</v>
      </c>
      <c r="AD112" s="1034">
        <f>IF(AND(C51&gt;O88,C51&lt;=P88),O112+(C51-O88)*(O112-P112)/(O88-P88),0)</f>
        <v>0</v>
      </c>
      <c r="AE112" s="1034">
        <f>IF(AND(C51&gt;P88,C51&lt;=Q88),P112+(C51-P88)*(P112-Q112)/(P88-Q88),0)</f>
        <v>0</v>
      </c>
      <c r="AF112" s="1034">
        <f>IF(AND(C51&gt;Q88,C51&lt;=R88),Q112+(C51-Q88)*(Q112-R112)/(Q88-R88),0)</f>
        <v>0</v>
      </c>
      <c r="AG112" s="1034">
        <f>IF(C51&gt;=R88,R112,0)</f>
        <v>0</v>
      </c>
      <c r="AH112" s="1008"/>
    </row>
    <row r="113" spans="1:34" ht="12.75" x14ac:dyDescent="0.2">
      <c r="A113" s="1009"/>
      <c r="B113" s="1012" t="s">
        <v>1530</v>
      </c>
      <c r="C113" s="1049">
        <v>8.5000000000000006E-3</v>
      </c>
      <c r="D113" s="1049">
        <v>8.3000000000000001E-3</v>
      </c>
      <c r="E113" s="1039">
        <v>7.6E-3</v>
      </c>
      <c r="F113" s="1049">
        <v>6.6E-3</v>
      </c>
      <c r="G113" s="1049">
        <v>6.0000000000000001E-3</v>
      </c>
      <c r="H113" s="1049">
        <v>5.1000000000000004E-3</v>
      </c>
      <c r="I113" s="1049"/>
      <c r="J113" s="1049"/>
      <c r="K113" s="1049"/>
      <c r="L113" s="1049"/>
      <c r="M113" s="1049"/>
      <c r="N113" s="1035">
        <v>4.3E-3</v>
      </c>
      <c r="O113" s="1049">
        <v>3.7000000000000002E-3</v>
      </c>
      <c r="P113" s="1049">
        <v>3.0999999999999999E-3</v>
      </c>
      <c r="Q113" s="1049">
        <v>2.3999999999999998E-3</v>
      </c>
      <c r="R113" s="1045"/>
      <c r="S113" s="1034">
        <f t="shared" si="1"/>
        <v>8.5000000000000006E-3</v>
      </c>
      <c r="T113" s="1014">
        <v>30</v>
      </c>
      <c r="U113" s="1047">
        <v>0.55000000000000004</v>
      </c>
      <c r="V113" s="1034">
        <f>IF(C51&lt;=C88,C113,0)</f>
        <v>8.5000000000000006E-3</v>
      </c>
      <c r="W113" s="1034">
        <f>IF(AND(C51&gt;C88,C51&lt;=D88),C113+(C51-C88)*(C113-D113)/(C88-D88),0)</f>
        <v>0</v>
      </c>
      <c r="X113" s="1034">
        <f>IF(AND(C51&gt;D88,C51&lt;=E88),D113+(C51-D88)*(D113-E113)/(D88-E88),0)</f>
        <v>0</v>
      </c>
      <c r="Y113" s="1034">
        <f>IF(AND(C51&gt;E88,C51&lt;=F88),E113+(C51-E88)*(E113-F113)/(E88-F88),0)</f>
        <v>0</v>
      </c>
      <c r="Z113" s="1034">
        <f>IF(AND(C51&gt;F88,C51&lt;=G88),F113+(C51-F88)*(F113-G113)/(F88-G88),0)</f>
        <v>0</v>
      </c>
      <c r="AA113" s="1034">
        <f>IF(AND(C51&gt;G88,C51&lt;=H88),G113+(C51-G88)*(G113-H113)/(G88-H88),0)</f>
        <v>0</v>
      </c>
      <c r="AB113" s="1034">
        <f>IF(AND(C51&gt;H88,C51&lt;=N88),H113+(C51-H88)*(H113-N113)/(H88-N88),0)</f>
        <v>0</v>
      </c>
      <c r="AC113" s="1034">
        <f>IF(AND(C51&gt;N88,C51&lt;=O88),N113+(C51-N88)*(N113-O113)/(N88-O88),0)</f>
        <v>0</v>
      </c>
      <c r="AD113" s="1034">
        <f>IF(AND(C51&gt;O88,C51&lt;=P88),O113+(C51-O88)*(O113-P113)/(O88-P88),0)</f>
        <v>0</v>
      </c>
      <c r="AE113" s="1034">
        <f>IF(AND(C51&gt;P88,C51&lt;=Q88),P113+(C51-P88)*(P113-Q113)/(P88-Q88),0)</f>
        <v>0</v>
      </c>
      <c r="AF113" s="1034">
        <f>IF(C51&gt;=Q88,Q113,0)</f>
        <v>0</v>
      </c>
      <c r="AG113" s="1034">
        <v>0</v>
      </c>
      <c r="AH113" s="1008"/>
    </row>
    <row r="114" spans="1:34" ht="12.75" x14ac:dyDescent="0.2">
      <c r="A114" s="1036"/>
      <c r="B114" s="1012" t="s">
        <v>1531</v>
      </c>
      <c r="C114" s="1049"/>
      <c r="D114" s="1049">
        <v>2.8000000000000001E-2</v>
      </c>
      <c r="E114" s="1039">
        <v>2.58E-2</v>
      </c>
      <c r="F114" s="1049">
        <v>2.2100000000000002E-2</v>
      </c>
      <c r="G114" s="1049">
        <v>2.01E-2</v>
      </c>
      <c r="H114" s="1049">
        <v>1.8200000000000001E-2</v>
      </c>
      <c r="I114" s="1049"/>
      <c r="J114" s="1049"/>
      <c r="K114" s="1049"/>
      <c r="L114" s="1049"/>
      <c r="M114" s="1049"/>
      <c r="N114" s="1035">
        <v>1.66E-2</v>
      </c>
      <c r="O114" s="1049">
        <v>1.4500000000000001E-2</v>
      </c>
      <c r="P114" s="1049">
        <v>1.23E-2</v>
      </c>
      <c r="Q114" s="1049">
        <v>9.4999999999999998E-3</v>
      </c>
      <c r="R114" s="1045">
        <v>7.3000000000000001E-3</v>
      </c>
      <c r="S114" s="1034">
        <f t="shared" si="1"/>
        <v>2.8000000000000001E-2</v>
      </c>
      <c r="T114" s="1014">
        <v>32</v>
      </c>
      <c r="U114" s="1014"/>
      <c r="V114" s="1034">
        <v>0</v>
      </c>
      <c r="W114" s="1034">
        <f>IF(C51&lt;=D88,D114,0)</f>
        <v>2.8000000000000001E-2</v>
      </c>
      <c r="X114" s="1034">
        <f>IF(AND(C51&gt;D88,C51&lt;=E88),D114+(C51-D88)*(D114-E114)/(D88-E88),0)</f>
        <v>0</v>
      </c>
      <c r="Y114" s="1034">
        <f>IF(AND(C51&gt;E88,C51&lt;=F88),E114+(C51-E88)*(E114-F114)/(E88-F88),0)</f>
        <v>0</v>
      </c>
      <c r="Z114" s="1034">
        <f>IF(AND(C51&gt;F88,C51&lt;=G88),F114+(C51-F88)*(F114-G114)/(F88-G88),0)</f>
        <v>0</v>
      </c>
      <c r="AA114" s="1034">
        <f>IF(AND(C51&gt;G88,C51&lt;=H88),G114+(C51-G88)*(G114-H114)/(G88-H88),0)</f>
        <v>0</v>
      </c>
      <c r="AB114" s="1034">
        <f>IF(AND(C51&gt;H88,C51&lt;=N88),H114+(C51-H88)*(H114-N114)/(H88-N88),0)</f>
        <v>0</v>
      </c>
      <c r="AC114" s="1034">
        <f>IF(AND(C51&gt;N88,C51&lt;=O88),N114+(C51-N88)*(N114-O114)/(N88-O88),0)</f>
        <v>0</v>
      </c>
      <c r="AD114" s="1034">
        <f>IF(AND(C51&gt;O88,C51&lt;=P88),O114+(C51-O88)*(O114-P114)/(O88-P88),0)</f>
        <v>0</v>
      </c>
      <c r="AE114" s="1034">
        <f>IF(AND(C51&gt;P88,C51&lt;=Q88),P114+(C51-P88)*(P114-Q114)/(P88-Q88),0)</f>
        <v>0</v>
      </c>
      <c r="AF114" s="1034">
        <f>IF(AND(C51&gt;Q88,C51&lt;=R88),Q114+(C51-Q88)*(Q114-R114)/(Q88-R88),0)</f>
        <v>0</v>
      </c>
      <c r="AG114" s="1034">
        <f>IF(C51&gt;=R88,R114,0)</f>
        <v>0</v>
      </c>
      <c r="AH114" s="1008"/>
    </row>
    <row r="115" spans="1:34" ht="12.75" x14ac:dyDescent="0.2">
      <c r="A115" s="1036"/>
      <c r="B115" s="1012" t="s">
        <v>1532</v>
      </c>
      <c r="C115" s="1048"/>
      <c r="D115" s="1049">
        <v>2.7199999999999998E-2</v>
      </c>
      <c r="E115" s="1039">
        <v>2.1499999999999998E-2</v>
      </c>
      <c r="F115" s="1049">
        <v>1.83E-2</v>
      </c>
      <c r="G115" s="1049">
        <v>1.67E-2</v>
      </c>
      <c r="H115" s="1049">
        <v>1.5100000000000001E-2</v>
      </c>
      <c r="I115" s="1049"/>
      <c r="J115" s="1049"/>
      <c r="K115" s="1049"/>
      <c r="L115" s="1049"/>
      <c r="M115" s="1049"/>
      <c r="N115" s="1035">
        <v>1.38E-2</v>
      </c>
      <c r="O115" s="1049">
        <v>1.21E-2</v>
      </c>
      <c r="P115" s="1049">
        <v>1.03E-2</v>
      </c>
      <c r="Q115" s="1049">
        <v>7.9000000000000008E-3</v>
      </c>
      <c r="R115" s="1045">
        <v>6.1000000000000004E-3</v>
      </c>
      <c r="S115" s="1034">
        <f t="shared" si="1"/>
        <v>2.7199999999999998E-2</v>
      </c>
      <c r="T115" s="1014">
        <v>33</v>
      </c>
      <c r="U115" s="1014"/>
      <c r="V115" s="1034">
        <v>0</v>
      </c>
      <c r="W115" s="1034">
        <f>IF(C51&lt;=D88,D115,0)</f>
        <v>2.7199999999999998E-2</v>
      </c>
      <c r="X115" s="1034">
        <f>IF(AND(C51&gt;D88,C51&lt;=E88),D115+(C51-D88)*(D115-E115)/(D88-E88),0)</f>
        <v>0</v>
      </c>
      <c r="Y115" s="1034">
        <f>IF(AND(C51&gt;E88,C51&lt;=F88),E115+(C51-E88)*(E115-F115)/(E88-F88),0)</f>
        <v>0</v>
      </c>
      <c r="Z115" s="1034">
        <f>IF(AND(C51&gt;F88,C51&lt;=G88),F115+(C51-F88)*(F115-G115)/(F88-G88),0)</f>
        <v>0</v>
      </c>
      <c r="AA115" s="1034">
        <f>IF(AND(C51&gt;G88,C51&lt;=H88),G115+(C51-G88)*(G115-H115)/(G88-H88),0)</f>
        <v>0</v>
      </c>
      <c r="AB115" s="1034">
        <f>IF(AND(C51&gt;H88,C51&lt;=N88),H115+(C51-H88)*(H115-N115)/(H88-N88),0)</f>
        <v>0</v>
      </c>
      <c r="AC115" s="1034">
        <f>IF(AND(C51&gt;N88,C51&lt;=O88),N115+(C51-N88)*(N115-O115)/(N88-O88),0)</f>
        <v>0</v>
      </c>
      <c r="AD115" s="1034">
        <f>IF(AND(C51&gt;O88,C51&lt;=P88),O115+(C51-O88)*(O115-P115)/(O88-P88),0)</f>
        <v>0</v>
      </c>
      <c r="AE115" s="1034">
        <f>IF(AND(C51&gt;P88,C51&lt;=Q88),P115+(C51-P88)*(P115-Q115)/(P88-Q88),0)</f>
        <v>0</v>
      </c>
      <c r="AF115" s="1034">
        <f>IF(AND(C51&gt;Q88,C51&lt;=R88),Q115+(C51-Q88)*(Q115-R115)/(Q88-R88),0)</f>
        <v>0</v>
      </c>
      <c r="AG115" s="1034">
        <f>IF(C51&gt;=R88,R115,0)</f>
        <v>0</v>
      </c>
      <c r="AH115" s="1008"/>
    </row>
    <row r="116" spans="1:34" ht="12.75" x14ac:dyDescent="0.2">
      <c r="A116" s="1009"/>
      <c r="B116" s="1012" t="s">
        <v>1533</v>
      </c>
      <c r="C116" s="1049">
        <v>1.61E-2</v>
      </c>
      <c r="D116" s="1049">
        <v>1.5599999999999999E-2</v>
      </c>
      <c r="E116" s="1039">
        <v>1.4500000000000001E-2</v>
      </c>
      <c r="F116" s="1049">
        <v>1.23E-2</v>
      </c>
      <c r="G116" s="1049">
        <v>1.12E-2</v>
      </c>
      <c r="H116" s="1049">
        <v>1.03E-2</v>
      </c>
      <c r="I116" s="1049"/>
      <c r="J116" s="1049"/>
      <c r="K116" s="1049"/>
      <c r="L116" s="1049"/>
      <c r="M116" s="1049"/>
      <c r="N116" s="1035">
        <v>9.2999999999999992E-3</v>
      </c>
      <c r="O116" s="1049">
        <v>7.9000000000000008E-3</v>
      </c>
      <c r="P116" s="1049">
        <v>6.7000000000000002E-3</v>
      </c>
      <c r="Q116" s="1049">
        <v>5.1999999999999998E-3</v>
      </c>
      <c r="R116" s="1045">
        <v>4.0000000000000001E-3</v>
      </c>
      <c r="S116" s="1034">
        <f t="shared" si="1"/>
        <v>1.61E-2</v>
      </c>
      <c r="T116" s="1014">
        <v>34</v>
      </c>
      <c r="U116" s="1014"/>
      <c r="V116" s="1034">
        <f>IF(C51&lt;=C88,C116,0)</f>
        <v>1.61E-2</v>
      </c>
      <c r="W116" s="1034">
        <f>IF(AND(C51&gt;C88,C51&lt;=D88),C116+(C51-C88)*(C116-D116)/(C88-D88),0)</f>
        <v>0</v>
      </c>
      <c r="X116" s="1034">
        <f>IF(AND(C51&gt;D88,C51&lt;=E88),D116+(C51-D88)*(D116-E116)/(D88-E88),0)</f>
        <v>0</v>
      </c>
      <c r="Y116" s="1034">
        <f>IF(AND(C51&gt;E88,C51&lt;=F88),E116+(C51-E88)*(E116-F116)/(E88-F88),0)</f>
        <v>0</v>
      </c>
      <c r="Z116" s="1034">
        <f>IF(AND(C51&gt;F88,C51&lt;=G88),F116+(C51-F88)*(F116-G116)/(F88-G88),0)</f>
        <v>0</v>
      </c>
      <c r="AA116" s="1034">
        <f>IF(AND(C51&gt;G88,C51&lt;=H88),G116+(C51-G88)*(G116-H116)/(G88-H88),0)</f>
        <v>0</v>
      </c>
      <c r="AB116" s="1034">
        <f>IF(AND(C51&gt;H88,C51&lt;=N88),H116+(C51-H88)*(H116-N116)/(H88-N88),0)</f>
        <v>0</v>
      </c>
      <c r="AC116" s="1034">
        <f>IF(AND(C51&gt;N88,C51&lt;=O88),N116+(C51-N88)*(N116-O116)/(N88-O88),0)</f>
        <v>0</v>
      </c>
      <c r="AD116" s="1034">
        <f>IF(AND(C51&gt;O88,C51&lt;=P88),O116+(C51-O88)*(O116-P116)/(O88-P88),0)</f>
        <v>0</v>
      </c>
      <c r="AE116" s="1034">
        <f>IF(AND(C51&gt;P88,C51&lt;=Q88),P116+(C51-P88)*(P116-Q116)/(P88-Q88),0)</f>
        <v>0</v>
      </c>
      <c r="AF116" s="1034">
        <f>IF(AND(C51&gt;Q88,C51&lt;=R88),Q116+(C51-Q88)*(Q116-R116)/(Q88-R88),0)</f>
        <v>0</v>
      </c>
      <c r="AG116" s="1034">
        <f>IF(C51&gt;=R88,R116,0)</f>
        <v>0</v>
      </c>
      <c r="AH116" s="1008"/>
    </row>
    <row r="117" spans="1:34" ht="12.75" x14ac:dyDescent="0.2">
      <c r="A117" s="1009"/>
      <c r="B117" s="1012" t="s">
        <v>1534</v>
      </c>
      <c r="C117" s="1049">
        <v>1.46E-2</v>
      </c>
      <c r="D117" s="1049">
        <v>1.4200000000000001E-2</v>
      </c>
      <c r="E117" s="1039">
        <v>1.3100000000000001E-2</v>
      </c>
      <c r="F117" s="1049">
        <v>1.1299999999999999E-2</v>
      </c>
      <c r="G117" s="1049">
        <v>1.03E-2</v>
      </c>
      <c r="H117" s="1049">
        <v>9.1999999999999998E-3</v>
      </c>
      <c r="I117" s="1049"/>
      <c r="J117" s="1049"/>
      <c r="K117" s="1049"/>
      <c r="L117" s="1049"/>
      <c r="M117" s="1049"/>
      <c r="N117" s="1035">
        <v>7.7000000000000002E-3</v>
      </c>
      <c r="O117" s="1049">
        <v>6.4999999999999997E-3</v>
      </c>
      <c r="P117" s="1049">
        <v>5.4999999999999997E-3</v>
      </c>
      <c r="Q117" s="1049">
        <v>4.1999999999999997E-3</v>
      </c>
      <c r="R117" s="1045">
        <v>3.2000000000000002E-3</v>
      </c>
      <c r="S117" s="1034">
        <f t="shared" si="1"/>
        <v>1.46E-2</v>
      </c>
      <c r="T117" s="1014">
        <v>35</v>
      </c>
      <c r="U117" s="1014"/>
      <c r="V117" s="1034">
        <f>IF(C51&lt;=C88,C117,0)</f>
        <v>1.46E-2</v>
      </c>
      <c r="W117" s="1034">
        <f>IF(AND(C51&gt;C88,C51&lt;=D88),C117+(C51-C88)*(C117-D117)/(C88-D88),0)</f>
        <v>0</v>
      </c>
      <c r="X117" s="1034">
        <f>IF(AND(C51&gt;D88,C51&lt;=E88),D117+(C51-D88)*(D117-E117)/(D88-E88),0)</f>
        <v>0</v>
      </c>
      <c r="Y117" s="1034">
        <f>IF(AND(C51&gt;E88,C51&lt;=F88),E117+(C51-E88)*(E117-F117)/(E88-F88),0)</f>
        <v>0</v>
      </c>
      <c r="Z117" s="1034">
        <f>IF(AND(C51&gt;F88,C51&lt;=G88),F117+(C51-F88)*(F117-G117)/(F88-G88),0)</f>
        <v>0</v>
      </c>
      <c r="AA117" s="1034">
        <f>IF(AND(C51&gt;G88,C51&lt;=H88),G117+(C51-G88)*(G117-H117)/(G88-H88),0)</f>
        <v>0</v>
      </c>
      <c r="AB117" s="1034">
        <f>IF(AND(C51&gt;H88,C51&lt;=N88),H117+(C51-H88)*(H117-N117)/(H88-N88),0)</f>
        <v>0</v>
      </c>
      <c r="AC117" s="1034">
        <f>IF(AND(C51&gt;N88,C51&lt;=O88),N117+(C51-N88)*(N117-O117)/(N88-O88),0)</f>
        <v>0</v>
      </c>
      <c r="AD117" s="1034">
        <f>IF(AND(C51&gt;O88,C51&lt;=P88),O117+(C51-O88)*(O117-P117)/(O88-P88),0)</f>
        <v>0</v>
      </c>
      <c r="AE117" s="1034">
        <f>IF(AND(C51&gt;P88,C51&lt;=Q88),P117+(C51-P88)*(P117-Q117)/(P88-Q88),0)</f>
        <v>0</v>
      </c>
      <c r="AF117" s="1034">
        <f>IF(AND(C51&gt;Q88,C51&lt;=R88),Q117+(C51-Q88)*(Q117-R117)/(Q88-R88),0)</f>
        <v>0</v>
      </c>
      <c r="AG117" s="1034">
        <f>IF(C51&gt;=R88,R117,0)</f>
        <v>0</v>
      </c>
      <c r="AH117" s="1008"/>
    </row>
    <row r="118" spans="1:34" ht="12.75" x14ac:dyDescent="0.2">
      <c r="A118" s="1009"/>
      <c r="B118" s="1012" t="s">
        <v>1535</v>
      </c>
      <c r="C118" s="1049">
        <v>1.3100000000000001E-2</v>
      </c>
      <c r="D118" s="1049">
        <v>1.2800000000000001E-2</v>
      </c>
      <c r="E118" s="1039">
        <v>1.18E-2</v>
      </c>
      <c r="F118" s="1049">
        <v>1.01E-2</v>
      </c>
      <c r="G118" s="1049">
        <v>9.1999999999999998E-3</v>
      </c>
      <c r="H118" s="1049">
        <v>7.7999999999999996E-3</v>
      </c>
      <c r="I118" s="1049"/>
      <c r="J118" s="1049"/>
      <c r="K118" s="1049"/>
      <c r="L118" s="1049"/>
      <c r="M118" s="1049"/>
      <c r="N118" s="1035">
        <v>6.6E-3</v>
      </c>
      <c r="O118" s="1049">
        <v>5.7000000000000002E-3</v>
      </c>
      <c r="P118" s="1049">
        <v>4.7999999999999996E-3</v>
      </c>
      <c r="Q118" s="1049">
        <v>3.7000000000000002E-3</v>
      </c>
      <c r="R118" s="1045"/>
      <c r="S118" s="1034">
        <f t="shared" si="1"/>
        <v>1.3100000000000001E-2</v>
      </c>
      <c r="T118" s="1014">
        <v>36</v>
      </c>
      <c r="U118" s="1014"/>
      <c r="V118" s="1034">
        <f>IF(C51&lt;=C88,C118,0)</f>
        <v>1.3100000000000001E-2</v>
      </c>
      <c r="W118" s="1034">
        <f>IF(AND(C51&gt;C88,C51&lt;=D88),C118+(C51-C88)*(C118-D118)/(C88-D88),0)</f>
        <v>0</v>
      </c>
      <c r="X118" s="1034">
        <f>IF(AND(C51&gt;D88,C51&lt;=E88),D118+(C51-D88)*(D118-E118)/(D88-E88),0)</f>
        <v>0</v>
      </c>
      <c r="Y118" s="1034">
        <f>IF(AND(C51&gt;E88,C51&lt;=F88),E118+(C51-E88)*(E118-F118)/(E88-F88),0)</f>
        <v>0</v>
      </c>
      <c r="Z118" s="1034">
        <f>IF(AND(C51&gt;F88,C51&lt;=G88),F118+(C51-F88)*(F118-G118)/(F88-G88),0)</f>
        <v>0</v>
      </c>
      <c r="AA118" s="1034">
        <f>IF(AND(C51&gt;G88,C51&lt;=H88),G118+(C51-G88)*(G118-H118)/(G88-H88),0)</f>
        <v>0</v>
      </c>
      <c r="AB118" s="1034">
        <f>IF(AND(C51&gt;H88,C51&lt;=N88),H118+(C51-H88)*(H118-N118)/(H88-N88),0)</f>
        <v>0</v>
      </c>
      <c r="AC118" s="1034">
        <f>IF(AND(C51&gt;N88,C51&lt;=O88),N118+(C51-N88)*(N118-O118)/(N88-O88),0)</f>
        <v>0</v>
      </c>
      <c r="AD118" s="1034">
        <f>IF(AND(C51&gt;O88,C51&lt;=P88),O118+(C51-O88)*(O118-P118)/(O88-P88),0)</f>
        <v>0</v>
      </c>
      <c r="AE118" s="1034">
        <f>IF(AND(C51&gt;P88,C51&lt;=Q88),P118+(C51-P88)*(P118-Q118)/(P88-Q88),0)</f>
        <v>0</v>
      </c>
      <c r="AF118" s="1034">
        <f>IF(C51&gt;=Q88,Q118,0)</f>
        <v>0</v>
      </c>
      <c r="AG118" s="1034">
        <v>0</v>
      </c>
      <c r="AH118" s="1008"/>
    </row>
    <row r="119" spans="1:34" ht="12.75" x14ac:dyDescent="0.2">
      <c r="A119" s="1009"/>
      <c r="B119" s="1012" t="s">
        <v>1536</v>
      </c>
      <c r="C119" s="1049"/>
      <c r="D119" s="1049">
        <v>2.5899999999999999E-2</v>
      </c>
      <c r="E119" s="1039">
        <v>2.2499999999999999E-2</v>
      </c>
      <c r="F119" s="1049">
        <v>1.9099999999999999E-2</v>
      </c>
      <c r="G119" s="1049">
        <v>1.72E-2</v>
      </c>
      <c r="H119" s="1049">
        <v>1.5699999999999999E-2</v>
      </c>
      <c r="I119" s="1049"/>
      <c r="J119" s="1049"/>
      <c r="K119" s="1049"/>
      <c r="L119" s="1049"/>
      <c r="M119" s="1049"/>
      <c r="N119" s="1035">
        <v>1.34E-2</v>
      </c>
      <c r="O119" s="1049">
        <v>1.1299999999999999E-2</v>
      </c>
      <c r="P119" s="1049">
        <v>9.5999999999999992E-3</v>
      </c>
      <c r="Q119" s="1049">
        <v>7.4000000000000003E-3</v>
      </c>
      <c r="R119" s="1045">
        <v>5.7000000000000002E-3</v>
      </c>
      <c r="S119" s="1034">
        <f t="shared" si="1"/>
        <v>2.5899999999999999E-2</v>
      </c>
      <c r="T119" s="1014">
        <v>38</v>
      </c>
      <c r="U119" s="1047">
        <v>0.55000000000000004</v>
      </c>
      <c r="V119" s="1034">
        <v>0</v>
      </c>
      <c r="W119" s="1034">
        <f>IF(C51&lt;=D88,D119,0)</f>
        <v>2.5899999999999999E-2</v>
      </c>
      <c r="X119" s="1034">
        <f>IF(AND(C51&gt;D88,C51&lt;=E88),D119+(C51-D88)*(D119-E119)/(D88-E88),0)</f>
        <v>0</v>
      </c>
      <c r="Y119" s="1034">
        <f>IF(AND(C51&gt;E88,C51&lt;=F88),E119+(C51-E88)*(E119-F119)/(E88-F88),0)</f>
        <v>0</v>
      </c>
      <c r="Z119" s="1034">
        <f>IF(AND(C51&gt;F88,C51&lt;=G88),F119+(C51-F88)*(F119-G119)/(F88-G88),0)</f>
        <v>0</v>
      </c>
      <c r="AA119" s="1034">
        <f>IF(AND(C51&gt;G88,C51&lt;=H88),G119+(C51-G88)*(G119-H119)/(G88-H88),0)</f>
        <v>0</v>
      </c>
      <c r="AB119" s="1034">
        <f>IF(AND(C51&gt;H88,C51&lt;=N88),H119+(C51-H88)*(H119-N119)/(H88-N88),0)</f>
        <v>0</v>
      </c>
      <c r="AC119" s="1034">
        <f>IF(AND(C51&gt;N88,C51&lt;=O88),N119+(C51-N88)*(N119-O119)/(N88-O88),0)</f>
        <v>0</v>
      </c>
      <c r="AD119" s="1034">
        <f>IF(AND(C51&gt;O88,C51&lt;=P88),O119+(C51-O88)*(O119-P119)/(O88-P88),0)</f>
        <v>0</v>
      </c>
      <c r="AE119" s="1034">
        <f>IF(AND(C51&gt;P88,C51&lt;=Q88),P119+(C51-P88)*(P119-Q119)/(P88-Q88),0)</f>
        <v>0</v>
      </c>
      <c r="AF119" s="1034">
        <f>IF(AND(C51&gt;Q88,C51&lt;=R88),Q119+(C51-Q88)*(Q119-R119)/(Q88-R88),0)</f>
        <v>0</v>
      </c>
      <c r="AG119" s="1034">
        <f>IF(C51&gt;=R88,R119,0)</f>
        <v>0</v>
      </c>
      <c r="AH119" s="1008"/>
    </row>
    <row r="120" spans="1:34" ht="12.75" x14ac:dyDescent="0.2">
      <c r="A120" s="1009"/>
      <c r="B120" s="1012" t="s">
        <v>1537</v>
      </c>
      <c r="C120" s="1049"/>
      <c r="D120" s="1049">
        <v>2.35E-2</v>
      </c>
      <c r="E120" s="1039">
        <v>2.0500000000000001E-2</v>
      </c>
      <c r="F120" s="1049">
        <v>1.7299999999999999E-2</v>
      </c>
      <c r="G120" s="1049">
        <v>1.55E-2</v>
      </c>
      <c r="H120" s="1049">
        <v>1.43E-2</v>
      </c>
      <c r="I120" s="1049"/>
      <c r="J120" s="1049"/>
      <c r="K120" s="1049"/>
      <c r="L120" s="1049"/>
      <c r="M120" s="1049"/>
      <c r="N120" s="1035">
        <v>1.21E-2</v>
      </c>
      <c r="O120" s="1049">
        <v>1.0200000000000001E-2</v>
      </c>
      <c r="P120" s="1049">
        <v>8.6999999999999994E-3</v>
      </c>
      <c r="Q120" s="1049">
        <v>6.7000000000000002E-3</v>
      </c>
      <c r="R120" s="1045">
        <v>5.1000000000000004E-3</v>
      </c>
      <c r="S120" s="1034">
        <f t="shared" si="1"/>
        <v>2.35E-2</v>
      </c>
      <c r="T120" s="1014">
        <v>39</v>
      </c>
      <c r="U120" s="1047">
        <v>0.55000000000000004</v>
      </c>
      <c r="V120" s="1034">
        <v>0</v>
      </c>
      <c r="W120" s="1034">
        <f>IF(C51&lt;=D88,D120,0)</f>
        <v>2.35E-2</v>
      </c>
      <c r="X120" s="1034">
        <f>IF(AND(C51&gt;D88,C51&lt;=E88),D120+(C51-D88)*(D120-E120)/(D88-E88),0)</f>
        <v>0</v>
      </c>
      <c r="Y120" s="1034">
        <f>IF(AND(C51&gt;E88,C51&lt;=F88),E120+(C51-E88)*(E120-F120)/(E88-F88),0)</f>
        <v>0</v>
      </c>
      <c r="Z120" s="1034">
        <f>IF(AND(C51&gt;F88,C51&lt;=G88),F120+(C51-F88)*(F120-G120)/(F88-G88),0)</f>
        <v>0</v>
      </c>
      <c r="AA120" s="1034">
        <f>IF(AND(C51&gt;G88,C51&lt;=H88),G120+(C51-G88)*(G120-H120)/(G88-H88),0)</f>
        <v>0</v>
      </c>
      <c r="AB120" s="1034">
        <f>IF(AND(C51&gt;H88,C51&lt;=N88),H120+(C51-H88)*(H120-N120)/(H88-N88),0)</f>
        <v>0</v>
      </c>
      <c r="AC120" s="1034">
        <f>IF(AND(C51&gt;N88,C51&lt;=O88),N120+(C51-N88)*(N120-O120)/(N88-O88),0)</f>
        <v>0</v>
      </c>
      <c r="AD120" s="1034">
        <f>IF(AND(C51&gt;O88,C51&lt;=P88),O120+(C51-O88)*(O120-P120)/(O88-P88),0)</f>
        <v>0</v>
      </c>
      <c r="AE120" s="1034">
        <f>IF(AND(C51&gt;P88,C51&lt;=Q88),P120+(C51-P88)*(P120-Q120)/(P88-Q88),0)</f>
        <v>0</v>
      </c>
      <c r="AF120" s="1034">
        <f>IF(AND(C51&gt;Q88,C51&lt;=R88),Q120+(C51-Q88)*(Q120-R120)/(Q88-R88),0)</f>
        <v>0</v>
      </c>
      <c r="AG120" s="1034">
        <f>IF(C51&gt;=R88,R120,0)</f>
        <v>0</v>
      </c>
      <c r="AH120" s="1008"/>
    </row>
    <row r="121" spans="1:34" ht="12.75" x14ac:dyDescent="0.2">
      <c r="A121" s="1009"/>
      <c r="B121" s="1012" t="s">
        <v>1538</v>
      </c>
      <c r="C121" s="1049">
        <v>2.2200000000000001E-2</v>
      </c>
      <c r="D121" s="1049">
        <v>2.1299999999999999E-2</v>
      </c>
      <c r="E121" s="1039">
        <v>1.8599999999999998E-2</v>
      </c>
      <c r="F121" s="1049">
        <v>1.5699999999999999E-2</v>
      </c>
      <c r="G121" s="1049">
        <v>1.4200000000000001E-2</v>
      </c>
      <c r="H121" s="1049">
        <v>1.3100000000000001E-2</v>
      </c>
      <c r="I121" s="1049"/>
      <c r="J121" s="1049"/>
      <c r="K121" s="1049"/>
      <c r="L121" s="1049"/>
      <c r="M121" s="1049"/>
      <c r="N121" s="1035">
        <v>1.06E-2</v>
      </c>
      <c r="O121" s="1049">
        <v>9.1000000000000004E-3</v>
      </c>
      <c r="P121" s="1049">
        <v>7.6E-3</v>
      </c>
      <c r="Q121" s="1049">
        <v>5.7999999999999996E-3</v>
      </c>
      <c r="R121" s="1045">
        <v>4.4999999999999997E-3</v>
      </c>
      <c r="S121" s="1034">
        <f t="shared" si="1"/>
        <v>2.2200000000000001E-2</v>
      </c>
      <c r="T121" s="1014">
        <v>40</v>
      </c>
      <c r="U121" s="1047">
        <v>0.55000000000000004</v>
      </c>
      <c r="V121" s="1034">
        <f>IF(C51&lt;=C88,C121,0)</f>
        <v>2.2200000000000001E-2</v>
      </c>
      <c r="W121" s="1034">
        <f>IF(AND(C51&gt;C88,C51&lt;=D88),C121+(C51-C88)*(C121-D121)/(C88-D88),0)</f>
        <v>0</v>
      </c>
      <c r="X121" s="1034">
        <f>IF(AND(C51&gt;D88,C51&lt;=E88),D121+(C51-D88)*(D121-E121)/(D88-E88),0)</f>
        <v>0</v>
      </c>
      <c r="Y121" s="1034">
        <f>IF(AND(C51&gt;E88,C51&lt;=F88),E121+(C51-E88)*(E121-F121)/(E88-F88),0)</f>
        <v>0</v>
      </c>
      <c r="Z121" s="1034">
        <f>IF(AND(C51&gt;F88,C51&lt;=G88),F121+(C51-F88)*(F121-G121)/(F88-G88),0)</f>
        <v>0</v>
      </c>
      <c r="AA121" s="1034">
        <f>IF(AND(C51&gt;G88,C51&lt;=H88),G121+(C51-G88)*(G121-H121)/(G88-H88),0)</f>
        <v>0</v>
      </c>
      <c r="AB121" s="1034">
        <f>IF(AND(C51&gt;H88,C51&lt;=N88),H121+(C51-H88)*(H121-N121)/(H88-N88),0)</f>
        <v>0</v>
      </c>
      <c r="AC121" s="1034">
        <f>IF(AND(C51&gt;N88,C51&lt;=O88),N121+(C51-N88)*(N121-O121)/(N88-O88),0)</f>
        <v>0</v>
      </c>
      <c r="AD121" s="1034">
        <f>IF(AND(C51&gt;O88,C51&lt;=P88),O121+(C51-O88)*(O121-P121)/(O88-P88),0)</f>
        <v>0</v>
      </c>
      <c r="AE121" s="1034">
        <f>IF(AND(C51&gt;P88,C51&lt;=Q88),P121+(C51-P88)*(P121-Q121)/(P88-Q88),0)</f>
        <v>0</v>
      </c>
      <c r="AF121" s="1034">
        <f>IF(AND(C51&gt;Q88,C51&lt;=R88),Q121+(C51-Q88)*(Q121-R121)/(Q88-R88),0)</f>
        <v>0</v>
      </c>
      <c r="AG121" s="1034">
        <f>IF(C51&gt;=R88,R121,0)</f>
        <v>0</v>
      </c>
      <c r="AH121" s="1008"/>
    </row>
    <row r="122" spans="1:34" ht="12.75" x14ac:dyDescent="0.2">
      <c r="A122" s="1009"/>
      <c r="B122" s="1012" t="s">
        <v>1539</v>
      </c>
      <c r="C122" s="1049">
        <v>2.01E-2</v>
      </c>
      <c r="D122" s="1049">
        <v>1.9300000000000001E-2</v>
      </c>
      <c r="E122" s="1039">
        <v>1.67E-2</v>
      </c>
      <c r="F122" s="1049">
        <v>1.4E-2</v>
      </c>
      <c r="G122" s="1049">
        <v>1.2699999999999999E-2</v>
      </c>
      <c r="H122" s="1049">
        <v>1.0800000000000001E-2</v>
      </c>
      <c r="I122" s="1049"/>
      <c r="J122" s="1049"/>
      <c r="K122" s="1049"/>
      <c r="L122" s="1049"/>
      <c r="M122" s="1049"/>
      <c r="N122" s="1035">
        <v>9.1999999999999998E-3</v>
      </c>
      <c r="O122" s="1049">
        <v>7.7999999999999996E-3</v>
      </c>
      <c r="P122" s="1049">
        <v>6.7000000000000002E-3</v>
      </c>
      <c r="Q122" s="1049">
        <v>5.1000000000000004E-3</v>
      </c>
      <c r="R122" s="1045">
        <v>4.0000000000000001E-3</v>
      </c>
      <c r="S122" s="1034">
        <f t="shared" si="1"/>
        <v>2.01E-2</v>
      </c>
      <c r="T122" s="1014">
        <v>41</v>
      </c>
      <c r="U122" s="1047">
        <v>0.55000000000000004</v>
      </c>
      <c r="V122" s="1034">
        <f>IF(C51&lt;=C88,C122,0)</f>
        <v>2.01E-2</v>
      </c>
      <c r="W122" s="1034">
        <f>IF(AND(C51&gt;C88,C51&lt;=D88),C122+(C51-C88)*(C122-D122)/(C88-D88),0)</f>
        <v>0</v>
      </c>
      <c r="X122" s="1034">
        <f>IF(AND(C51&gt;D88,C51&lt;=E88),D122+(C51-D88)*(D122-E122)/(D88-E88),0)</f>
        <v>0</v>
      </c>
      <c r="Y122" s="1034">
        <f>IF(AND(C51&gt;E88,C51&lt;=F88),E122+(C51-E88)*(E122-F122)/(E88-F88),0)</f>
        <v>0</v>
      </c>
      <c r="Z122" s="1034">
        <f>IF(AND(C51&gt;F88,C51&lt;=G88),F122+(C51-F88)*(F122-G122)/(F88-G88),0)</f>
        <v>0</v>
      </c>
      <c r="AA122" s="1034">
        <f>IF(AND(C51&gt;G88,C51&lt;=H88),G122+(C51-G88)*(G122-H122)/(G88-H88),0)</f>
        <v>0</v>
      </c>
      <c r="AB122" s="1034">
        <f>IF(AND(C51&gt;H88,C51&lt;=N88),H122+(C51-H88)*(H122-N122)/(H88-N88),0)</f>
        <v>0</v>
      </c>
      <c r="AC122" s="1034">
        <f>IF(AND(C51&gt;N88,C51&lt;=O88),N122+(C51-N88)*(N122-O122)/(N88-O88),0)</f>
        <v>0</v>
      </c>
      <c r="AD122" s="1034">
        <f>IF(AND(C51&gt;O88,C51&lt;=P88),O122+(C51-O88)*(O122-P122)/(O88-P88),0)</f>
        <v>0</v>
      </c>
      <c r="AE122" s="1034">
        <f>IF(AND(C51&gt;P88,C51&lt;=Q88),P122+(C51-P88)*(P122-Q122)/(P88-Q88),0)</f>
        <v>0</v>
      </c>
      <c r="AF122" s="1034">
        <f>IF(AND(C51&gt;Q88,C51&lt;=R88),Q122+(C51-Q88)*(Q122-R122)/(Q88-R88),0)</f>
        <v>0</v>
      </c>
      <c r="AG122" s="1034">
        <f>IF(C51&gt;=R88,R122,0)</f>
        <v>0</v>
      </c>
      <c r="AH122" s="1008"/>
    </row>
    <row r="123" spans="1:34" ht="12.75" x14ac:dyDescent="0.2">
      <c r="A123" s="1009"/>
      <c r="B123" s="1012" t="s">
        <v>1540</v>
      </c>
      <c r="C123" s="1049">
        <v>1.77E-2</v>
      </c>
      <c r="D123" s="1049">
        <v>1.7000000000000001E-2</v>
      </c>
      <c r="E123" s="1039">
        <v>1.49E-2</v>
      </c>
      <c r="F123" s="1049">
        <v>1.0999999999999999E-2</v>
      </c>
      <c r="G123" s="1049">
        <v>9.2999999999999992E-3</v>
      </c>
      <c r="H123" s="1049">
        <v>8.0000000000000002E-3</v>
      </c>
      <c r="I123" s="1049"/>
      <c r="J123" s="1049"/>
      <c r="K123" s="1049"/>
      <c r="L123" s="1049"/>
      <c r="M123" s="1049"/>
      <c r="N123" s="1035">
        <v>6.7000000000000002E-3</v>
      </c>
      <c r="O123" s="1049">
        <v>5.7999999999999996E-3</v>
      </c>
      <c r="P123" s="1049">
        <v>4.8999999999999998E-3</v>
      </c>
      <c r="Q123" s="1049">
        <v>3.8E-3</v>
      </c>
      <c r="R123" s="1045"/>
      <c r="S123" s="1034">
        <f t="shared" si="1"/>
        <v>1.77E-2</v>
      </c>
      <c r="T123" s="1014">
        <v>42</v>
      </c>
      <c r="U123" s="1047">
        <v>0.55000000000000004</v>
      </c>
      <c r="V123" s="1034">
        <f>IF(C51&lt;=C88,C123,0)</f>
        <v>1.77E-2</v>
      </c>
      <c r="W123" s="1034">
        <f>IF(AND(C51&gt;C88,C51&lt;=D88),C123+(C51-C88)*(C123-D123)/(C88-D88),0)</f>
        <v>0</v>
      </c>
      <c r="X123" s="1034">
        <f>IF(AND(C51&gt;D88,C51&lt;=E88),D123+(C51-D88)*(D123-E123)/(D88-E88),0)</f>
        <v>0</v>
      </c>
      <c r="Y123" s="1034">
        <f>IF(AND(C51&gt;E88,C51&lt;=F88),E123+(C51-E88)*(E123-F123)/(E88-F88),0)</f>
        <v>0</v>
      </c>
      <c r="Z123" s="1034">
        <f>IF(AND(C51&gt;F88,C51&lt;=G88),F123+(C51-F88)*(F123-G123)/(F88-G88),0)</f>
        <v>0</v>
      </c>
      <c r="AA123" s="1034">
        <f>IF(AND(C51&gt;G88,C51&lt;=H88),G123+(C51-G88)*(G123-H123)/(G88-H88),0)</f>
        <v>0</v>
      </c>
      <c r="AB123" s="1034">
        <f>IF(AND(C51&gt;H88,C51&lt;=N88),H123+(C51-H88)*(H123-N123)/(H88-N88),0)</f>
        <v>0</v>
      </c>
      <c r="AC123" s="1034">
        <f>IF(AND(C51&gt;N88,C51&lt;=O88),N123+(C51-N88)*(N123-O123)/(N88-O88),0)</f>
        <v>0</v>
      </c>
      <c r="AD123" s="1034">
        <f>IF(AND(C51&gt;O88,C51&lt;=P88),O123+(C51-O88)*(O123-P123)/(O88-P88),0)</f>
        <v>0</v>
      </c>
      <c r="AE123" s="1034">
        <f>IF(AND(C51&gt;P88,C51&lt;=Q88),P123+(C51-P88)*(P123-Q123)/(P88-Q88),0)</f>
        <v>0</v>
      </c>
      <c r="AF123" s="1034">
        <f>IF(C51&gt;=Q88,Q123,0)</f>
        <v>0</v>
      </c>
      <c r="AG123" s="1034">
        <v>0</v>
      </c>
      <c r="AH123" s="1008"/>
    </row>
    <row r="124" spans="1:34" ht="12.75" x14ac:dyDescent="0.2">
      <c r="A124" s="1036"/>
      <c r="B124" s="1012" t="s">
        <v>1541</v>
      </c>
      <c r="C124" s="1049"/>
      <c r="D124" s="1049">
        <v>4.0099999999999997E-2</v>
      </c>
      <c r="E124" s="1039">
        <v>3.4799999999999998E-2</v>
      </c>
      <c r="F124" s="1049">
        <v>2.9600000000000001E-2</v>
      </c>
      <c r="G124" s="1049">
        <v>2.6599999999999999E-2</v>
      </c>
      <c r="H124" s="1049">
        <v>2.4299999999999999E-2</v>
      </c>
      <c r="I124" s="1049"/>
      <c r="J124" s="1049"/>
      <c r="K124" s="1049"/>
      <c r="L124" s="1049"/>
      <c r="M124" s="1049"/>
      <c r="N124" s="1035">
        <v>2.07E-2</v>
      </c>
      <c r="O124" s="1049">
        <v>1.7500000000000002E-2</v>
      </c>
      <c r="P124" s="1049">
        <v>1.4800000000000001E-2</v>
      </c>
      <c r="Q124" s="1049">
        <v>1.14E-2</v>
      </c>
      <c r="R124" s="1045">
        <v>8.8000000000000005E-3</v>
      </c>
      <c r="S124" s="1034">
        <f t="shared" si="1"/>
        <v>4.0099999999999997E-2</v>
      </c>
      <c r="T124" s="1014">
        <v>44</v>
      </c>
      <c r="U124" s="1014"/>
      <c r="V124" s="1034">
        <v>0</v>
      </c>
      <c r="W124" s="1034">
        <f>IF(C51&lt;=D88,D124,0)</f>
        <v>4.0099999999999997E-2</v>
      </c>
      <c r="X124" s="1034">
        <f>IF(AND(C51&gt;D88,C51&lt;=E88),D124+(C51-D88)*(D124-E124)/(D88-E88),0)</f>
        <v>0</v>
      </c>
      <c r="Y124" s="1034">
        <f>IF(AND(C51&gt;E88,C51&lt;=F88),E124+(C51-E88)*(E124-F124)/(E88-F88),0)</f>
        <v>0</v>
      </c>
      <c r="Z124" s="1034">
        <f>IF(AND(C51&gt;F88,C51&lt;=G88),F124+(C51-F88)*(F124-G124)/(F88-G88),0)</f>
        <v>0</v>
      </c>
      <c r="AA124" s="1034">
        <f>IF(AND(C51&gt;G88,C51&lt;=H88),G124+(C51-G88)*(G124-H124)/(G88-H88),0)</f>
        <v>0</v>
      </c>
      <c r="AB124" s="1034">
        <f>IF(AND(C51&gt;H88,C51&lt;=N88),H124+(C51-H88)*(H124-N124)/(H88-N88),0)</f>
        <v>0</v>
      </c>
      <c r="AC124" s="1034">
        <f>IF(AND(C51&gt;N88,C51&lt;=O88),N124+(C51-N88)*(N124-O124)/(N88-O88),0)</f>
        <v>0</v>
      </c>
      <c r="AD124" s="1034">
        <f>IF(AND(C51&gt;O88,C51&lt;=P88),O124+(C51-O88)*(O124-P124)/(O88-P88),0)</f>
        <v>0</v>
      </c>
      <c r="AE124" s="1034">
        <f>IF(AND(C51&gt;P88,C51&lt;=Q88),P124+(C51-P88)*(P124-Q124)/(P88-Q88),0)</f>
        <v>0</v>
      </c>
      <c r="AF124" s="1034">
        <f>IF(AND(C51&gt;Q88,C51&lt;=R88),Q124+(C51-Q88)*(Q124-R124)/(Q88-R88),0)</f>
        <v>0</v>
      </c>
      <c r="AG124" s="1034">
        <f>IF(C51&gt;=R88,R124,0)</f>
        <v>0</v>
      </c>
      <c r="AH124" s="1008"/>
    </row>
    <row r="125" spans="1:34" ht="12.75" x14ac:dyDescent="0.2">
      <c r="A125" s="1036"/>
      <c r="B125" s="1012" t="s">
        <v>1542</v>
      </c>
      <c r="C125" s="1049"/>
      <c r="D125" s="1049">
        <v>3.6400000000000002E-2</v>
      </c>
      <c r="E125" s="1039">
        <v>3.1699999999999999E-2</v>
      </c>
      <c r="F125" s="1049">
        <v>2.6800000000000001E-2</v>
      </c>
      <c r="G125" s="1049">
        <v>2.4E-2</v>
      </c>
      <c r="H125" s="1049">
        <v>2.2100000000000002E-2</v>
      </c>
      <c r="I125" s="1049"/>
      <c r="J125" s="1049"/>
      <c r="K125" s="1049"/>
      <c r="L125" s="1049"/>
      <c r="M125" s="1049"/>
      <c r="N125" s="1035">
        <v>1.8700000000000001E-2</v>
      </c>
      <c r="O125" s="1049">
        <v>1.5800000000000002E-2</v>
      </c>
      <c r="P125" s="1049">
        <v>1.34E-2</v>
      </c>
      <c r="Q125" s="1049">
        <v>1.03E-2</v>
      </c>
      <c r="R125" s="1045">
        <v>7.9000000000000008E-3</v>
      </c>
      <c r="S125" s="1034">
        <f t="shared" si="1"/>
        <v>3.6400000000000002E-2</v>
      </c>
      <c r="T125" s="1014">
        <v>45</v>
      </c>
      <c r="U125" s="1014"/>
      <c r="V125" s="1034">
        <v>0</v>
      </c>
      <c r="W125" s="1034">
        <f>IF(C51&lt;=D88,D125,0)</f>
        <v>3.6400000000000002E-2</v>
      </c>
      <c r="X125" s="1034">
        <f>IF(AND(C51&gt;D88,C51&lt;=E88),D125+(C51-D88)*(D125-E125)/(D88-E88),0)</f>
        <v>0</v>
      </c>
      <c r="Y125" s="1034">
        <f>IF(AND(C51&gt;E88,C51&lt;=F88),E125+(C51-E88)*(E125-F125)/(E88-F88),0)</f>
        <v>0</v>
      </c>
      <c r="Z125" s="1034">
        <f>IF(AND(C51&gt;F88,C51&lt;=G88),F125+(C51-F88)*(F125-G125)/(F88-G88),0)</f>
        <v>0</v>
      </c>
      <c r="AA125" s="1034">
        <f>IF(AND(C51&gt;G88,C51&lt;=H88),G125+(C51-G88)*(G125-H125)/(G88-H88),0)</f>
        <v>0</v>
      </c>
      <c r="AB125" s="1034">
        <f>IF(AND(C51&gt;H88,C51&lt;=N88),H125+(C51-H88)*(H125-N125)/(H88-N88),0)</f>
        <v>0</v>
      </c>
      <c r="AC125" s="1034">
        <f>IF(AND(C51&gt;N88,C51&lt;=O88),N125+(C51-N88)*(N125-O125)/(N88-O88),0)</f>
        <v>0</v>
      </c>
      <c r="AD125" s="1034">
        <f>IF(AND(C51&gt;O88,C51&lt;=P88),O125+(C51-O88)*(O125-P125)/(O88-P88),0)</f>
        <v>0</v>
      </c>
      <c r="AE125" s="1034">
        <f>IF(AND(C51&gt;P88,C51&lt;=Q88),P125+(C51-P88)*(P125-Q125)/(P88-Q88),0)</f>
        <v>0</v>
      </c>
      <c r="AF125" s="1034">
        <f>IF(AND(C51&gt;Q88,C51&lt;=R88),Q125+(C51-Q88)*(Q125-R125)/(Q88-R88),0)</f>
        <v>0</v>
      </c>
      <c r="AG125" s="1034">
        <f>IF(C51&gt;=R88,R125,0)</f>
        <v>0</v>
      </c>
      <c r="AH125" s="1008"/>
    </row>
    <row r="126" spans="1:34" ht="12.75" x14ac:dyDescent="0.2">
      <c r="A126" s="1009"/>
      <c r="B126" s="1012" t="s">
        <v>1543</v>
      </c>
      <c r="C126" s="1049">
        <v>3.4200000000000001E-2</v>
      </c>
      <c r="D126" s="1049">
        <v>3.2899999999999999E-2</v>
      </c>
      <c r="E126" s="1039">
        <v>2.87E-2</v>
      </c>
      <c r="F126" s="1049">
        <v>2.41E-2</v>
      </c>
      <c r="G126" s="1049">
        <v>2.1899999999999999E-2</v>
      </c>
      <c r="H126" s="1049">
        <v>2.01E-2</v>
      </c>
      <c r="I126" s="1049"/>
      <c r="J126" s="1049"/>
      <c r="K126" s="1049"/>
      <c r="L126" s="1049"/>
      <c r="M126" s="1049"/>
      <c r="N126" s="1035">
        <v>1.6199999999999999E-2</v>
      </c>
      <c r="O126" s="1049">
        <v>1.38E-2</v>
      </c>
      <c r="P126" s="1049">
        <v>1.17E-2</v>
      </c>
      <c r="Q126" s="1049">
        <v>8.9999999999999993E-3</v>
      </c>
      <c r="R126" s="1045">
        <v>5.1000000000000004E-3</v>
      </c>
      <c r="S126" s="1034">
        <f t="shared" si="1"/>
        <v>3.4200000000000001E-2</v>
      </c>
      <c r="T126" s="1014">
        <v>46</v>
      </c>
      <c r="U126" s="1014"/>
      <c r="V126" s="1034">
        <f>IF(C51&lt;=C88,C126,0)</f>
        <v>3.4200000000000001E-2</v>
      </c>
      <c r="W126" s="1034">
        <f>IF(AND(C51&gt;C88,C51&lt;=D88),C126+(C51-C88)*(C126-D126)/(C88-D88),0)</f>
        <v>0</v>
      </c>
      <c r="X126" s="1034">
        <f>IF(AND(C51&gt;D88,C51&lt;=E88),D126+(C51-D88)*(D126-E126)/(D88-E88),0)</f>
        <v>0</v>
      </c>
      <c r="Y126" s="1034">
        <f>IF(AND(C51&gt;E88,C51&lt;=F88),E126+(C51-E88)*(E126-F126)/(E88-F88),0)</f>
        <v>0</v>
      </c>
      <c r="Z126" s="1034">
        <f>IF(AND(C51&gt;F88,C51&lt;=G88),F126+(C51-F88)*(F126-G126)/(F88-G88),0)</f>
        <v>0</v>
      </c>
      <c r="AA126" s="1034">
        <f>IF(AND(C51&gt;G88,C51&lt;=H88),G126+(C51-G88)*(G126-H126)/(G88-H88),0)</f>
        <v>0</v>
      </c>
      <c r="AB126" s="1034">
        <f>IF(AND(C51&gt;H88,C51&lt;=N88),H126+(C51-H88)*(H126-N126)/(H88-N88),0)</f>
        <v>0</v>
      </c>
      <c r="AC126" s="1034">
        <f>IF(AND(C51&gt;N88,C51&lt;=O88),N126+(C51-N88)*(N126-O126)/(N88-O88),0)</f>
        <v>0</v>
      </c>
      <c r="AD126" s="1034">
        <f>IF(AND(C51&gt;O88,C51&lt;=P88),O126+(C51-O88)*(O126-P126)/(O88-P88),0)</f>
        <v>0</v>
      </c>
      <c r="AE126" s="1034">
        <f>IF(AND(C51&gt;P88,C51&lt;=Q88),P126+(C51-P88)*(P126-Q126)/(P88-Q88),0)</f>
        <v>0</v>
      </c>
      <c r="AF126" s="1034">
        <f>IF(AND(C51&gt;Q88,C51&lt;=R88),Q126+(C51-Q88)*(Q126-R126)/(Q88-R88),0)</f>
        <v>0</v>
      </c>
      <c r="AG126" s="1034">
        <f>IF(C51&gt;=R88,R126,0)</f>
        <v>0</v>
      </c>
      <c r="AH126" s="1008"/>
    </row>
    <row r="127" spans="1:34" ht="12.75" x14ac:dyDescent="0.2">
      <c r="A127" s="1009"/>
      <c r="B127" s="1012" t="s">
        <v>1544</v>
      </c>
      <c r="C127" s="1049">
        <v>3.1099999999999999E-2</v>
      </c>
      <c r="D127" s="1049">
        <v>2.98E-2</v>
      </c>
      <c r="E127" s="1039">
        <v>2.58E-2</v>
      </c>
      <c r="F127" s="1049">
        <v>2.1600000000000001E-2</v>
      </c>
      <c r="G127" s="1049">
        <v>1.9599999999999999E-2</v>
      </c>
      <c r="H127" s="1049">
        <v>1.67E-2</v>
      </c>
      <c r="I127" s="1049"/>
      <c r="J127" s="1049"/>
      <c r="K127" s="1049"/>
      <c r="L127" s="1049"/>
      <c r="M127" s="1049"/>
      <c r="N127" s="1035">
        <v>1.4200000000000001E-2</v>
      </c>
      <c r="O127" s="1049">
        <v>1.21E-2</v>
      </c>
      <c r="P127" s="1049">
        <v>1.03E-2</v>
      </c>
      <c r="Q127" s="1049">
        <v>7.9000000000000008E-3</v>
      </c>
      <c r="R127" s="1045">
        <v>4.5999999999999999E-3</v>
      </c>
      <c r="S127" s="1034">
        <f t="shared" si="1"/>
        <v>3.1099999999999999E-2</v>
      </c>
      <c r="T127" s="1014">
        <v>47</v>
      </c>
      <c r="U127" s="1014"/>
      <c r="V127" s="1034">
        <f>IF(C51&lt;=C88,C127,0)</f>
        <v>3.1099999999999999E-2</v>
      </c>
      <c r="W127" s="1034">
        <f>IF(AND(C51&gt;C88,C51&lt;=D88),C127+(C51-C88)*(C127-D127)/(C88-D88),0)</f>
        <v>0</v>
      </c>
      <c r="X127" s="1034">
        <f>IF(AND(C51&gt;D88,C51&lt;=E88),D127+(C51-D88)*(D127-E127)/(D88-E88),0)</f>
        <v>0</v>
      </c>
      <c r="Y127" s="1034">
        <f>IF(AND(C51&gt;E88,C51&lt;=F88),E127+(C51-E88)*(E127-F127)/(E88-F88),0)</f>
        <v>0</v>
      </c>
      <c r="Z127" s="1034">
        <f>IF(AND(C51&gt;F88,C51&lt;=G88),F127+(C51-F88)*(F127-G127)/(F88-G88),0)</f>
        <v>0</v>
      </c>
      <c r="AA127" s="1034">
        <f>IF(AND(C51&gt;G88,C51&lt;=H88),G127+(C51-G88)*(G127-H127)/(G88-H88),0)</f>
        <v>0</v>
      </c>
      <c r="AB127" s="1034">
        <f>IF(AND(C51&gt;H88,C51&lt;=N88),H127+(C51-H88)*(H127-N127)/(H88-N88),0)</f>
        <v>0</v>
      </c>
      <c r="AC127" s="1034">
        <f>IF(AND(C51&gt;N88,C51&lt;=O88),N127+(C51-N88)*(N127-O127)/(N88-O88),0)</f>
        <v>0</v>
      </c>
      <c r="AD127" s="1034">
        <f>IF(AND(C51&gt;O88,C51&lt;=P88),O127+(C51-O88)*(O127-P127)/(O88-P88),0)</f>
        <v>0</v>
      </c>
      <c r="AE127" s="1034">
        <f>IF(AND(C51&gt;P88,C51&lt;=Q88),P127+(C51-P88)*(P127-Q127)/(P88-Q88),0)</f>
        <v>0</v>
      </c>
      <c r="AF127" s="1034">
        <f>IF(AND(C51&gt;Q88,C51&lt;=R88),Q127+(C51-Q88)*(Q127-R127)/(Q88-R88),0)</f>
        <v>0</v>
      </c>
      <c r="AG127" s="1034">
        <f>IF(C51&gt;=R88,R127,0)</f>
        <v>0</v>
      </c>
      <c r="AH127" s="1008"/>
    </row>
    <row r="128" spans="1:34" ht="12.75" x14ac:dyDescent="0.2">
      <c r="A128" s="1009"/>
      <c r="B128" s="1012" t="s">
        <v>1545</v>
      </c>
      <c r="C128" s="1049">
        <v>2.7400000000000001E-2</v>
      </c>
      <c r="D128" s="1049">
        <v>2.63E-2</v>
      </c>
      <c r="E128" s="1039">
        <v>2.3099999999999999E-2</v>
      </c>
      <c r="F128" s="1049">
        <v>1.7000000000000001E-2</v>
      </c>
      <c r="G128" s="1049">
        <v>1.44E-2</v>
      </c>
      <c r="H128" s="1049">
        <v>1.23E-2</v>
      </c>
      <c r="I128" s="1049"/>
      <c r="J128" s="1049"/>
      <c r="K128" s="1049"/>
      <c r="L128" s="1049"/>
      <c r="M128" s="1049"/>
      <c r="N128" s="1035">
        <v>1.04E-2</v>
      </c>
      <c r="O128" s="1049">
        <v>8.8999999999999999E-3</v>
      </c>
      <c r="P128" s="1049">
        <v>7.4999999999999997E-3</v>
      </c>
      <c r="Q128" s="1049">
        <v>5.7999999999999996E-3</v>
      </c>
      <c r="R128" s="1045"/>
      <c r="S128" s="1034">
        <f t="shared" si="1"/>
        <v>2.7400000000000001E-2</v>
      </c>
      <c r="T128" s="1014">
        <v>48</v>
      </c>
      <c r="U128" s="1014"/>
      <c r="V128" s="1034">
        <f>IF(C51&lt;=C88,C128,0)</f>
        <v>2.7400000000000001E-2</v>
      </c>
      <c r="W128" s="1034">
        <f>IF(AND(C51&gt;C88,C51&lt;=D88),C128+(C51-C88)*(C128-D128)/(C88-D88),0)</f>
        <v>0</v>
      </c>
      <c r="X128" s="1034">
        <f>IF(AND(C51&gt;D88,C51&lt;=E88),D128+(C51-D88)*(D128-E128)/(D88-E88),0)</f>
        <v>0</v>
      </c>
      <c r="Y128" s="1034">
        <f>IF(AND(C51&gt;E88,C51&lt;=F88),E128+(C51-E88)*(E128-F128)/(E88-F88),0)</f>
        <v>0</v>
      </c>
      <c r="Z128" s="1034">
        <f>IF(AND(C51&gt;F88,C51&lt;=G88),F128+(C51-F88)*(F128-G128)/(F88-G88),0)</f>
        <v>0</v>
      </c>
      <c r="AA128" s="1034">
        <f>IF(AND(C51&gt;G88,C51&lt;=H88),G128+(C51-G88)*(G128-H128)/(G88-H88),0)</f>
        <v>0</v>
      </c>
      <c r="AB128" s="1034">
        <f>IF(AND(C51&gt;H88,C51&lt;=N88),H128+(C51-H88)*(H128-N128)/(H88-N88),0)</f>
        <v>0</v>
      </c>
      <c r="AC128" s="1034">
        <f>IF(AND(C51&gt;N88,C51&lt;=O88),N128+(C51-N88)*(N128-O128)/(N88-O88),0)</f>
        <v>0</v>
      </c>
      <c r="AD128" s="1034">
        <f>IF(AND(C51&gt;O88,C51&lt;=P88),O128+(C51-O88)*(O128-P128)/(O88-P88),0)</f>
        <v>0</v>
      </c>
      <c r="AE128" s="1034">
        <f>IF(AND(C51&gt;P88,C51&lt;=Q88),P128+(C51-P88)*(P128-Q128)/(P88-Q88),0)</f>
        <v>0</v>
      </c>
      <c r="AF128" s="1034">
        <f>IF(C51&gt;=Q88,Q128,0)</f>
        <v>0</v>
      </c>
      <c r="AG128" s="1034">
        <v>0</v>
      </c>
      <c r="AH128" s="1008"/>
    </row>
    <row r="129" spans="1:34" ht="12.75" x14ac:dyDescent="0.2">
      <c r="A129" s="1009"/>
      <c r="B129" s="1012" t="s">
        <v>1546</v>
      </c>
      <c r="C129" s="1049"/>
      <c r="D129" s="1049">
        <v>1.95E-2</v>
      </c>
      <c r="E129" s="1039">
        <v>1.6899999999999998E-2</v>
      </c>
      <c r="F129" s="1049">
        <v>1.4200000000000001E-2</v>
      </c>
      <c r="G129" s="1049">
        <v>1.29E-2</v>
      </c>
      <c r="H129" s="1049">
        <v>1.18E-2</v>
      </c>
      <c r="I129" s="1049"/>
      <c r="J129" s="1049"/>
      <c r="K129" s="1049"/>
      <c r="L129" s="1049"/>
      <c r="M129" s="1049"/>
      <c r="N129" s="1035">
        <v>9.9000000000000008E-3</v>
      </c>
      <c r="O129" s="1049">
        <v>8.3999999999999995E-3</v>
      </c>
      <c r="P129" s="1049">
        <v>7.1999999999999998E-3</v>
      </c>
      <c r="Q129" s="1049">
        <v>5.4999999999999997E-3</v>
      </c>
      <c r="R129" s="1045">
        <v>4.1999999999999997E-3</v>
      </c>
      <c r="S129" s="1034">
        <f t="shared" si="1"/>
        <v>1.95E-2</v>
      </c>
      <c r="T129" s="1014">
        <v>50</v>
      </c>
      <c r="U129" s="1047">
        <v>0.55000000000000004</v>
      </c>
      <c r="V129" s="1034">
        <v>0</v>
      </c>
      <c r="W129" s="1034">
        <f>IF(C51&lt;=D88,D129,0)</f>
        <v>1.95E-2</v>
      </c>
      <c r="X129" s="1034">
        <f>IF(AND(C51&gt;D88,C51&lt;=E88),D129+(C51-D88)*(D129-E129)/(D88-E88),0)</f>
        <v>0</v>
      </c>
      <c r="Y129" s="1034">
        <f>IF(AND(C51&gt;E88,C51&lt;=F88),E129+(C51-E88)*(E129-F129)/(E88-F88),0)</f>
        <v>0</v>
      </c>
      <c r="Z129" s="1034">
        <f>IF(AND(C51&gt;F88,C51&lt;=G88),F129+(C51-F88)*(F129-G129)/(F88-G88),0)</f>
        <v>0</v>
      </c>
      <c r="AA129" s="1034">
        <f>IF(AND(C51&gt;G88,C51&lt;=H88),G129+(C51-G88)*(G129-H129)/(G88-H88),0)</f>
        <v>0</v>
      </c>
      <c r="AB129" s="1034">
        <f>IF(AND(C51&gt;H88,C51&lt;=N88),H129+(C51-H88)*(H129-N129)/(H88-N88),0)</f>
        <v>0</v>
      </c>
      <c r="AC129" s="1034">
        <f>IF(AND(C51&gt;N88,C51&lt;=O88),N129+(C51-N88)*(N129-O129)/(N88-O88),0)</f>
        <v>0</v>
      </c>
      <c r="AD129" s="1034">
        <f>IF(AND(C51&gt;O88,C51&lt;=P88),O129+(C51-O88)*(O129-P129)/(O88-P88),0)</f>
        <v>0</v>
      </c>
      <c r="AE129" s="1034">
        <f>IF(AND(C51&gt;P88,C51&lt;=Q88),P129+(C51-P88)*(P129-Q129)/(P88-Q88),0)</f>
        <v>0</v>
      </c>
      <c r="AF129" s="1034">
        <f>IF(AND(C51&gt;Q88,C51&lt;=R88),Q129+(C51-Q88)*(Q129-R129)/(Q88-R88),0)</f>
        <v>0</v>
      </c>
      <c r="AG129" s="1034">
        <f>IF(C51&gt;=R88,R129,0)</f>
        <v>0</v>
      </c>
      <c r="AH129" s="1008"/>
    </row>
    <row r="130" spans="1:34" ht="12.75" x14ac:dyDescent="0.2">
      <c r="A130" s="1009"/>
      <c r="B130" s="1012" t="s">
        <v>1547</v>
      </c>
      <c r="C130" s="1049"/>
      <c r="D130" s="1049">
        <v>1.77E-2</v>
      </c>
      <c r="E130" s="1039">
        <v>1.54E-2</v>
      </c>
      <c r="F130" s="1049">
        <v>1.3100000000000001E-2</v>
      </c>
      <c r="G130" s="1049">
        <v>1.17E-2</v>
      </c>
      <c r="H130" s="1049">
        <v>1.0699999999999999E-2</v>
      </c>
      <c r="I130" s="1049"/>
      <c r="J130" s="1049"/>
      <c r="K130" s="1049"/>
      <c r="L130" s="1049"/>
      <c r="M130" s="1049"/>
      <c r="N130" s="1035">
        <v>8.5000000000000006E-3</v>
      </c>
      <c r="O130" s="1049">
        <v>7.1999999999999998E-3</v>
      </c>
      <c r="P130" s="1049">
        <v>6.1000000000000004E-3</v>
      </c>
      <c r="Q130" s="1049">
        <v>4.7000000000000002E-3</v>
      </c>
      <c r="R130" s="1045">
        <v>3.0999999999999999E-3</v>
      </c>
      <c r="S130" s="1034">
        <f t="shared" si="1"/>
        <v>1.77E-2</v>
      </c>
      <c r="T130" s="1014">
        <v>51</v>
      </c>
      <c r="U130" s="1047">
        <v>0.55000000000000004</v>
      </c>
      <c r="V130" s="1034">
        <v>0</v>
      </c>
      <c r="W130" s="1034">
        <f>IF(C51&lt;=D88,D130,0)</f>
        <v>1.77E-2</v>
      </c>
      <c r="X130" s="1034">
        <f>IF(AND(C51&gt;D88,C51&lt;=E88),D130+(C51-D88)*(D130-E130)/(D88-E88),0)</f>
        <v>0</v>
      </c>
      <c r="Y130" s="1034">
        <f>IF(AND(C51&gt;E88,C51&lt;=F88),E130+(C51-E88)*(E130-F130)/(E88-F88),0)</f>
        <v>0</v>
      </c>
      <c r="Z130" s="1034">
        <f>IF(AND(C51&gt;F88,C51&lt;=G88),F130+(C51-F88)*(F130-G130)/(F88-G88),0)</f>
        <v>0</v>
      </c>
      <c r="AA130" s="1034">
        <f>IF(AND(C51&gt;G88,C51&lt;=H88),G130+(C51-G88)*(G130-H130)/(G88-H88),0)</f>
        <v>0</v>
      </c>
      <c r="AB130" s="1034">
        <f>IF(AND(C51&gt;H88,C51&lt;=N88),H130+(C51-H88)*(H130-N130)/(H88-N88),0)</f>
        <v>0</v>
      </c>
      <c r="AC130" s="1034">
        <f>IF(AND(C51&gt;N88,C51&lt;=O88),N130+(C51-N88)*(N130-O130)/(N88-O88),0)</f>
        <v>0</v>
      </c>
      <c r="AD130" s="1034">
        <f>IF(AND(C51&gt;O88,C51&lt;=P88),O130+(C51-O88)*(O130-P130)/(O88-P88),0)</f>
        <v>0</v>
      </c>
      <c r="AE130" s="1034">
        <f>IF(AND(C51&gt;P88,C51&lt;=Q88),P130+(C51-P88)*(P130-Q130)/(P88-Q88),0)</f>
        <v>0</v>
      </c>
      <c r="AF130" s="1034">
        <f>IF(AND(C51&gt;Q88,C51&lt;=R88),Q130+(C51-Q88)*(Q130-R130)/(Q88-R88),0)</f>
        <v>0</v>
      </c>
      <c r="AG130" s="1034">
        <f>IF(C51&gt;=R88,R130,0)</f>
        <v>0</v>
      </c>
      <c r="AH130" s="1008"/>
    </row>
    <row r="131" spans="1:34" ht="12.75" x14ac:dyDescent="0.2">
      <c r="A131" s="1009"/>
      <c r="B131" s="1012" t="s">
        <v>1548</v>
      </c>
      <c r="C131" s="1049">
        <v>1.6799999999999999E-2</v>
      </c>
      <c r="D131" s="1049">
        <v>1.61E-2</v>
      </c>
      <c r="E131" s="1039">
        <v>1.41E-2</v>
      </c>
      <c r="F131" s="1049">
        <v>1.18E-2</v>
      </c>
      <c r="G131" s="1049">
        <v>1.06E-2</v>
      </c>
      <c r="H131" s="1049">
        <v>9.7999999999999997E-3</v>
      </c>
      <c r="I131" s="1049"/>
      <c r="J131" s="1049"/>
      <c r="K131" s="1049"/>
      <c r="L131" s="1049"/>
      <c r="M131" s="1049"/>
      <c r="N131" s="1035">
        <v>7.7999999999999996E-3</v>
      </c>
      <c r="O131" s="1049">
        <v>6.7000000000000002E-3</v>
      </c>
      <c r="P131" s="1049">
        <v>5.7000000000000002E-3</v>
      </c>
      <c r="Q131" s="1049">
        <v>4.4000000000000003E-3</v>
      </c>
      <c r="R131" s="1045">
        <v>2.8999999999999998E-3</v>
      </c>
      <c r="S131" s="1034">
        <f t="shared" si="1"/>
        <v>1.6799999999999999E-2</v>
      </c>
      <c r="T131" s="1014">
        <v>52</v>
      </c>
      <c r="U131" s="1047">
        <v>0.55000000000000004</v>
      </c>
      <c r="V131" s="1034">
        <f>IF(C51&lt;=C88,C131,0)</f>
        <v>1.6799999999999999E-2</v>
      </c>
      <c r="W131" s="1034">
        <f>IF(AND(C51&gt;C88,C51&lt;=D88),C131+(C51-C88)*(C131-D131)/(C88-D88),0)</f>
        <v>0</v>
      </c>
      <c r="X131" s="1034">
        <f>IF(AND(C51&gt;D88,C51&lt;=E88),D131+(C51-D88)*(D131-E131)/(D88-E88),0)</f>
        <v>0</v>
      </c>
      <c r="Y131" s="1034">
        <f>IF(AND(C51&gt;E88,C51&lt;=F88),E131+(C51-E88)*(E131-F131)/(E88-F88),0)</f>
        <v>0</v>
      </c>
      <c r="Z131" s="1034">
        <f>IF(AND(C51&gt;F88,C51&lt;=G88),F131+(C51-F88)*(F131-G131)/(F88-G88),0)</f>
        <v>0</v>
      </c>
      <c r="AA131" s="1034">
        <f>IF(AND(C51&gt;G88,C51&lt;=H88),G131+(C51-G88)*(G131-H131)/(G88-H88),0)</f>
        <v>0</v>
      </c>
      <c r="AB131" s="1034">
        <f>IF(AND(C51&gt;H88,C51&lt;=N88),H131+(C51-H88)*(H131-N131)/(H88-N88),0)</f>
        <v>0</v>
      </c>
      <c r="AC131" s="1034">
        <f>IF(AND(C51&gt;N88,C51&lt;=O88),N131+(C51-N88)*(N131-O131)/(N88-O88),0)</f>
        <v>0</v>
      </c>
      <c r="AD131" s="1034">
        <f>IF(AND(C51&gt;O88,C51&lt;=P88),O131+(C51-O88)*(O131-P131)/(O88-P88),0)</f>
        <v>0</v>
      </c>
      <c r="AE131" s="1034">
        <f>IF(AND(C51&gt;P88,C51&lt;=Q88),P131+(C51-P88)*(P131-Q131)/(P88-Q88),0)</f>
        <v>0</v>
      </c>
      <c r="AF131" s="1034">
        <f>IF(AND(C51&gt;Q88,C51&lt;=R88),Q131+(C51-Q88)*(Q131-R131)/(Q88-R88),0)</f>
        <v>0</v>
      </c>
      <c r="AG131" s="1034">
        <f>IF(C51&gt;=R88,R131,0)</f>
        <v>0</v>
      </c>
      <c r="AH131" s="1008"/>
    </row>
    <row r="132" spans="1:34" ht="12.75" x14ac:dyDescent="0.2">
      <c r="A132" s="1009"/>
      <c r="B132" s="1012" t="s">
        <v>1549</v>
      </c>
      <c r="C132" s="1049">
        <v>1.4999999999999999E-2</v>
      </c>
      <c r="D132" s="1049">
        <v>1.44E-2</v>
      </c>
      <c r="E132" s="1039">
        <v>1.26E-2</v>
      </c>
      <c r="F132" s="1049">
        <v>1.0500000000000001E-2</v>
      </c>
      <c r="G132" s="1049">
        <v>9.5999999999999992E-3</v>
      </c>
      <c r="H132" s="1049">
        <v>8.3999999999999995E-3</v>
      </c>
      <c r="I132" s="1049"/>
      <c r="J132" s="1049"/>
      <c r="K132" s="1049"/>
      <c r="L132" s="1049"/>
      <c r="M132" s="1049"/>
      <c r="N132" s="1035">
        <v>7.6E-3</v>
      </c>
      <c r="O132" s="1049">
        <v>6.4000000000000003E-3</v>
      </c>
      <c r="P132" s="1049">
        <v>5.4999999999999997E-3</v>
      </c>
      <c r="Q132" s="1049">
        <v>4.1999999999999997E-3</v>
      </c>
      <c r="R132" s="1045">
        <v>2.7000000000000001E-3</v>
      </c>
      <c r="S132" s="1034">
        <f t="shared" si="1"/>
        <v>1.4999999999999999E-2</v>
      </c>
      <c r="T132" s="1014">
        <v>53</v>
      </c>
      <c r="U132" s="1047">
        <v>0.55000000000000004</v>
      </c>
      <c r="V132" s="1034">
        <f>IF(C51&lt;=C88,C132,0)</f>
        <v>1.4999999999999999E-2</v>
      </c>
      <c r="W132" s="1034">
        <f>IF(AND(C51&gt;C88,C51&lt;=D88),C132+(C51-C88)*(C132-D132)/(C88-D88),0)</f>
        <v>0</v>
      </c>
      <c r="X132" s="1034">
        <f>IF(AND(C51&gt;D88,C51&lt;=E88),D132+(C51-D88)*(D132-E132)/(D88-E88),0)</f>
        <v>0</v>
      </c>
      <c r="Y132" s="1034">
        <f>IF(AND(C51&gt;E88,C51&lt;=F88),E132+(C51-E88)*(E132-F132)/(E88-F88),0)</f>
        <v>0</v>
      </c>
      <c r="Z132" s="1034">
        <f>IF(AND(C51&gt;F88,C51&lt;=G88),F132+(C51-F88)*(F132-G132)/(F88-G88),0)</f>
        <v>0</v>
      </c>
      <c r="AA132" s="1034">
        <f>IF(AND(C51&gt;G88,C51&lt;=H88),G132+(C51-G88)*(G132-H132)/(G88-H88),0)</f>
        <v>0</v>
      </c>
      <c r="AB132" s="1034">
        <f>IF(AND(C51&gt;H88,C51&lt;=N88),H132+(C51-H88)*(H132-N132)/(H88-N88),0)</f>
        <v>0</v>
      </c>
      <c r="AC132" s="1034">
        <f>IF(AND(C51&gt;N88,C51&lt;=O88),N132+(C51-N88)*(N132-O132)/(N88-O88),0)</f>
        <v>0</v>
      </c>
      <c r="AD132" s="1034">
        <f>IF(AND(C51&gt;O88,C51&lt;=P88),O132+(C51-O88)*(O132-P132)/(O88-P88),0)</f>
        <v>0</v>
      </c>
      <c r="AE132" s="1034">
        <f>IF(AND(C51&gt;P88,C51&lt;=Q88),P132+(C51-P88)*(P132-Q132)/(P88-Q88),0)</f>
        <v>0</v>
      </c>
      <c r="AF132" s="1034">
        <f>IF(AND(C51&gt;Q88,C51&lt;=R88),Q132+(C51-Q88)*(Q132-R132)/(Q88-R88),0)</f>
        <v>0</v>
      </c>
      <c r="AG132" s="1034">
        <f>IF(C51&gt;=R88,R132,0)</f>
        <v>0</v>
      </c>
      <c r="AH132" s="1008"/>
    </row>
    <row r="133" spans="1:34" ht="12.75" x14ac:dyDescent="0.2">
      <c r="A133" s="1009"/>
      <c r="B133" s="1012" t="s">
        <v>1550</v>
      </c>
      <c r="C133" s="1049">
        <v>1.34E-2</v>
      </c>
      <c r="D133" s="1049">
        <v>1.2800000000000001E-2</v>
      </c>
      <c r="E133" s="1039">
        <v>1.11E-2</v>
      </c>
      <c r="F133" s="1049">
        <v>8.8000000000000005E-3</v>
      </c>
      <c r="G133" s="1049">
        <v>8.0000000000000002E-3</v>
      </c>
      <c r="H133" s="1049">
        <v>6.0000000000000001E-3</v>
      </c>
      <c r="I133" s="1049"/>
      <c r="J133" s="1049"/>
      <c r="K133" s="1049"/>
      <c r="L133" s="1049"/>
      <c r="M133" s="1049"/>
      <c r="N133" s="1035">
        <v>5.7999999999999996E-3</v>
      </c>
      <c r="O133" s="1049">
        <v>5.0000000000000001E-3</v>
      </c>
      <c r="P133" s="1049">
        <v>4.1999999999999997E-3</v>
      </c>
      <c r="Q133" s="1049">
        <v>3.2000000000000002E-3</v>
      </c>
      <c r="R133" s="1045"/>
      <c r="S133" s="1034">
        <f t="shared" si="1"/>
        <v>1.34E-2</v>
      </c>
      <c r="T133" s="1014">
        <v>54</v>
      </c>
      <c r="U133" s="1047">
        <v>0.55000000000000004</v>
      </c>
      <c r="V133" s="1034">
        <f>IF(C51&lt;=C88,C133,0)</f>
        <v>1.34E-2</v>
      </c>
      <c r="W133" s="1034">
        <f>IF(AND(C51&gt;C88,C51&lt;=D88),C133+(C51-C88)*(C133-D133)/(C88-D88),0)</f>
        <v>0</v>
      </c>
      <c r="X133" s="1034">
        <f>IF(AND(C51&gt;D88,C51&lt;=E88),D133+(C51-D88)*(D133-E133)/(D88-E88),0)</f>
        <v>0</v>
      </c>
      <c r="Y133" s="1034">
        <f>IF(AND(C51&gt;E88,C51&lt;=F88),E133+(C51-E88)*(E133-F133)/(E88-F88),0)</f>
        <v>0</v>
      </c>
      <c r="Z133" s="1034">
        <f>IF(AND(C51&gt;F88,C51&lt;=G88),F133+(C51-F88)*(F133-G133)/(F88-G88),0)</f>
        <v>0</v>
      </c>
      <c r="AA133" s="1034">
        <f>IF(AND(C51&gt;G88,C51&lt;=H88),G133+(C51-G88)*(G133-H133)/(G88-H88),0)</f>
        <v>0</v>
      </c>
      <c r="AB133" s="1034">
        <f>IF(AND(C51&gt;H88,C51&lt;=N88),H133+(C51-H88)*(H133-N133)/(H88-N88),0)</f>
        <v>0</v>
      </c>
      <c r="AC133" s="1034">
        <f>IF(AND(C51&gt;N88,C51&lt;=O88),N133+(C51-N88)*(N133-O133)/(N88-O88),0)</f>
        <v>0</v>
      </c>
      <c r="AD133" s="1034">
        <f>IF(AND(C51&gt;O88,C51&lt;=P88),O133+(C51-O88)*(O133-P133)/(O88-P88),0)</f>
        <v>0</v>
      </c>
      <c r="AE133" s="1034">
        <f>IF(AND(C51&gt;P88,C51&lt;=Q88),P133+(C51-P88)*(P133-Q133)/(P88-Q88),0)</f>
        <v>0</v>
      </c>
      <c r="AF133" s="1034">
        <f>IF(C51&gt;=Q88,Q133,0)</f>
        <v>0</v>
      </c>
      <c r="AG133" s="1034">
        <v>0</v>
      </c>
      <c r="AH133" s="1008"/>
    </row>
    <row r="134" spans="1:34" ht="12.75" x14ac:dyDescent="0.2">
      <c r="A134" s="1036"/>
      <c r="B134" s="1012" t="s">
        <v>1551</v>
      </c>
      <c r="C134" s="1049"/>
      <c r="D134" s="1049">
        <v>3.0200000000000001E-2</v>
      </c>
      <c r="E134" s="1039">
        <v>2.6100000000000002E-2</v>
      </c>
      <c r="F134" s="1049">
        <v>2.1999999999999999E-2</v>
      </c>
      <c r="G134" s="1049">
        <v>1.9900000000000001E-2</v>
      </c>
      <c r="H134" s="1049">
        <v>1.8200000000000001E-2</v>
      </c>
      <c r="I134" s="1049"/>
      <c r="J134" s="1049"/>
      <c r="K134" s="1049"/>
      <c r="L134" s="1049"/>
      <c r="M134" s="1049"/>
      <c r="N134" s="1035">
        <v>1.5299999999999999E-2</v>
      </c>
      <c r="O134" s="1049">
        <v>1.2999999999999999E-2</v>
      </c>
      <c r="P134" s="1049">
        <v>1.11E-2</v>
      </c>
      <c r="Q134" s="1049">
        <v>8.5000000000000006E-3</v>
      </c>
      <c r="R134" s="1045">
        <v>6.4999999999999997E-3</v>
      </c>
      <c r="S134" s="1034">
        <f t="shared" si="1"/>
        <v>3.0200000000000001E-2</v>
      </c>
      <c r="T134" s="1014">
        <v>56</v>
      </c>
      <c r="U134" s="1014"/>
      <c r="V134" s="1034">
        <v>0</v>
      </c>
      <c r="W134" s="1034">
        <f>IF(C51&lt;=D88,D134,0)</f>
        <v>3.0200000000000001E-2</v>
      </c>
      <c r="X134" s="1034">
        <f>IF(AND(C51&gt;D88,C51&lt;=E88),D134+(C51-D88)*(D134-E134)/(D88-E88),0)</f>
        <v>0</v>
      </c>
      <c r="Y134" s="1034">
        <f>IF(AND(C51&gt;E88,C51&lt;=F88),E134+(C51-E88)*(E134-F134)/(E88-F88),0)</f>
        <v>0</v>
      </c>
      <c r="Z134" s="1034">
        <f>IF(AND(C51&gt;F88,C51&lt;=G88),F134+(C51-F88)*(F134-G134)/(F88-G88),0)</f>
        <v>0</v>
      </c>
      <c r="AA134" s="1034">
        <f>IF(AND(C51&gt;G88,C51&lt;=H88),G134+(C51-G88)*(G134-H134)/(G88-H88),0)</f>
        <v>0</v>
      </c>
      <c r="AB134" s="1034">
        <f>IF(AND(C51&gt;H88,C51&lt;=N88),H134+(C51-H88)*(H134-N134)/(H88-N88),0)</f>
        <v>0</v>
      </c>
      <c r="AC134" s="1034">
        <f>IF(AND(C51&gt;N88,C51&lt;=O88),N134+(C51-N88)*(N134-O134)/(N88-O88),0)</f>
        <v>0</v>
      </c>
      <c r="AD134" s="1034">
        <f>IF(AND(C51&gt;O88,C51&lt;=P88),O134+(C51-O88)*(O134-P134)/(O88-P88),0)</f>
        <v>0</v>
      </c>
      <c r="AE134" s="1034">
        <f>IF(AND(C51&gt;P88,C51&lt;=Q88),P134+(C51-P88)*(P134-Q134)/(P88-Q88),0)</f>
        <v>0</v>
      </c>
      <c r="AF134" s="1034">
        <f>IF(AND(C51&gt;Q88,C51&lt;=R88),Q134+(C51-Q88)*(Q134-R134)/(Q88-R88),0)</f>
        <v>0</v>
      </c>
      <c r="AG134" s="1034">
        <f>IF(C51&gt;=R88,R134,0)</f>
        <v>0</v>
      </c>
      <c r="AH134" s="1008"/>
    </row>
    <row r="135" spans="1:34" ht="12.75" x14ac:dyDescent="0.2">
      <c r="A135" s="1036"/>
      <c r="B135" s="1012" t="s">
        <v>1552</v>
      </c>
      <c r="C135" s="1049"/>
      <c r="D135" s="1049">
        <v>2.7400000000000001E-2</v>
      </c>
      <c r="E135" s="1039">
        <v>2.3800000000000002E-2</v>
      </c>
      <c r="F135" s="1049">
        <v>2.0299999999999999E-2</v>
      </c>
      <c r="G135" s="1049">
        <v>1.8100000000000002E-2</v>
      </c>
      <c r="H135" s="1049">
        <v>1.6500000000000001E-2</v>
      </c>
      <c r="I135" s="1049"/>
      <c r="J135" s="1049"/>
      <c r="K135" s="1049"/>
      <c r="L135" s="1049"/>
      <c r="M135" s="1049"/>
      <c r="N135" s="1035">
        <v>1.3100000000000001E-2</v>
      </c>
      <c r="O135" s="1049">
        <v>1.11E-2</v>
      </c>
      <c r="P135" s="1049">
        <v>9.4000000000000004E-3</v>
      </c>
      <c r="Q135" s="1049">
        <v>7.1999999999999998E-3</v>
      </c>
      <c r="R135" s="1045">
        <v>5.5999999999999999E-3</v>
      </c>
      <c r="S135" s="1034">
        <f t="shared" si="1"/>
        <v>2.7400000000000001E-2</v>
      </c>
      <c r="T135" s="1014">
        <v>57</v>
      </c>
      <c r="U135" s="1014"/>
      <c r="V135" s="1034">
        <v>0</v>
      </c>
      <c r="W135" s="1034">
        <f>IF(C51&lt;=D88,D135,0)</f>
        <v>2.7400000000000001E-2</v>
      </c>
      <c r="X135" s="1034">
        <f>IF(AND(C51&gt;D88,C51&lt;=E88),D135+(C51-D88)*(D135-E135)/(D88-E88),0)</f>
        <v>0</v>
      </c>
      <c r="Y135" s="1034">
        <f>IF(AND(C51&gt;E88,C51&lt;=F88),E135+(C51-E88)*(E135-F135)/(E88-F88),0)</f>
        <v>0</v>
      </c>
      <c r="Z135" s="1034">
        <f>IF(AND(C51&gt;F88,C51&lt;=G88),F135+(C51-F88)*(F135-G135)/(F88-G88),0)</f>
        <v>0</v>
      </c>
      <c r="AA135" s="1034">
        <f>IF(AND(C51&gt;G88,C51&lt;=H88),G135+(C51-G88)*(G135-H135)/(G88-H88),0)</f>
        <v>0</v>
      </c>
      <c r="AB135" s="1034">
        <f>IF(AND(C51&gt;H88,C51&lt;=N88),H135+(C51-H88)*(H135-N135)/(H88-N88),0)</f>
        <v>0</v>
      </c>
      <c r="AC135" s="1034">
        <f>IF(AND(C51&gt;N88,C51&lt;=O88),N135+(C51-N88)*(N135-O135)/(N88-O88),0)</f>
        <v>0</v>
      </c>
      <c r="AD135" s="1034">
        <f>IF(AND(C51&gt;O88,C51&lt;=P88),O135+(C51-O88)*(O135-P135)/(O88-P88),0)</f>
        <v>0</v>
      </c>
      <c r="AE135" s="1034">
        <f>IF(AND(C51&gt;P88,C51&lt;=Q88),P135+(C51-P88)*(P135-Q135)/(P88-Q88),0)</f>
        <v>0</v>
      </c>
      <c r="AF135" s="1034">
        <f>IF(AND(C51&gt;Q88,C51&lt;=R88),Q135+(C51-Q88)*(Q135-R135)/(Q88-R88),0)</f>
        <v>0</v>
      </c>
      <c r="AG135" s="1034">
        <f>IF(C51&gt;=R88,R135,0)</f>
        <v>0</v>
      </c>
      <c r="AH135" s="1008"/>
    </row>
    <row r="136" spans="1:34" ht="12.75" x14ac:dyDescent="0.2">
      <c r="A136" s="1009"/>
      <c r="B136" s="1012" t="s">
        <v>1553</v>
      </c>
      <c r="C136" s="1049">
        <v>2.58E-2</v>
      </c>
      <c r="D136" s="1049">
        <v>2.4799999999999999E-2</v>
      </c>
      <c r="E136" s="1039">
        <v>2.1499999999999998E-2</v>
      </c>
      <c r="F136" s="1049">
        <v>1.8100000000000002E-2</v>
      </c>
      <c r="G136" s="1049">
        <v>1.6400000000000001E-2</v>
      </c>
      <c r="H136" s="1049">
        <v>1.5100000000000001E-2</v>
      </c>
      <c r="I136" s="1049"/>
      <c r="J136" s="1049"/>
      <c r="K136" s="1049"/>
      <c r="L136" s="1049"/>
      <c r="M136" s="1049"/>
      <c r="N136" s="1035">
        <v>1.21E-2</v>
      </c>
      <c r="O136" s="1049">
        <v>1.0200000000000001E-2</v>
      </c>
      <c r="P136" s="1049">
        <v>8.6999999999999994E-3</v>
      </c>
      <c r="Q136" s="1049">
        <v>6.7000000000000002E-3</v>
      </c>
      <c r="R136" s="1045">
        <v>5.1000000000000004E-3</v>
      </c>
      <c r="S136" s="1034">
        <f t="shared" si="1"/>
        <v>2.58E-2</v>
      </c>
      <c r="T136" s="1014">
        <v>58</v>
      </c>
      <c r="U136" s="1014"/>
      <c r="V136" s="1034">
        <f>IF(C51&lt;=C88,C136,0)</f>
        <v>2.58E-2</v>
      </c>
      <c r="W136" s="1034">
        <f>IF(AND(C51&gt;C88,C51&lt;=D88),C136+(C51-C88)*(C136-D136)/(C88-D88),0)</f>
        <v>0</v>
      </c>
      <c r="X136" s="1034">
        <f>IF(AND(C51&gt;D88,C51&lt;=E88),D136+(C51-D88)*(D136-E136)/(D88-E88),0)</f>
        <v>0</v>
      </c>
      <c r="Y136" s="1034">
        <f>IF(AND(C51&gt;E88,C51&lt;=F88),E136+(C51-E88)*(E136-F136)/(E88-F88),0)</f>
        <v>0</v>
      </c>
      <c r="Z136" s="1034">
        <f>IF(AND(C51&gt;F88,C51&lt;=G88),F136+(C51-F88)*(F136-G136)/(F88-G88),0)</f>
        <v>0</v>
      </c>
      <c r="AA136" s="1034">
        <f>IF(AND(C51&gt;G88,C51&lt;=H88),G136+(C51-G88)*(G136-H136)/(G88-H88),0)</f>
        <v>0</v>
      </c>
      <c r="AB136" s="1034">
        <f>IF(AND(C51&gt;H88,C51&lt;=N88),H136+(C51-H88)*(H136-N136)/(H88-N88),0)</f>
        <v>0</v>
      </c>
      <c r="AC136" s="1034">
        <f>IF(AND(C51&gt;N88,C51&lt;=O88),N136+(C51-N88)*(N136-O136)/(N88-O88),0)</f>
        <v>0</v>
      </c>
      <c r="AD136" s="1034">
        <f>IF(AND(C51&gt;O88,C51&lt;=P88),O136+(C51-O88)*(O136-P136)/(O88-P88),0)</f>
        <v>0</v>
      </c>
      <c r="AE136" s="1034">
        <f>IF(AND(C51&gt;P88,C51&lt;=Q88),P136+(C51-P88)*(P136-Q136)/(P88-Q88),0)</f>
        <v>0</v>
      </c>
      <c r="AF136" s="1034">
        <f>IF(AND(C51&gt;Q88,C51&lt;=R88),Q136+(C51-Q88)*(Q136-R136)/(Q88-R88),0)</f>
        <v>0</v>
      </c>
      <c r="AG136" s="1034">
        <f>IF(C51&gt;=R88,R136,0)</f>
        <v>0</v>
      </c>
      <c r="AH136" s="1008"/>
    </row>
    <row r="137" spans="1:34" ht="12.75" x14ac:dyDescent="0.2">
      <c r="A137" s="1009"/>
      <c r="B137" s="1012" t="s">
        <v>1554</v>
      </c>
      <c r="C137" s="1049">
        <v>2.3199999999999998E-2</v>
      </c>
      <c r="D137" s="1049">
        <v>2.23E-2</v>
      </c>
      <c r="E137" s="1039">
        <v>1.9400000000000001E-2</v>
      </c>
      <c r="F137" s="1049">
        <v>1.6199999999999999E-2</v>
      </c>
      <c r="G137" s="1049">
        <v>1.4800000000000001E-2</v>
      </c>
      <c r="H137" s="1049">
        <v>1.29E-2</v>
      </c>
      <c r="I137" s="1049"/>
      <c r="J137" s="1049"/>
      <c r="K137" s="1049"/>
      <c r="L137" s="1049"/>
      <c r="M137" s="1049"/>
      <c r="N137" s="1035">
        <v>1.17E-2</v>
      </c>
      <c r="O137" s="1049">
        <v>9.9000000000000008E-3</v>
      </c>
      <c r="P137" s="1049">
        <v>8.3999999999999995E-3</v>
      </c>
      <c r="Q137" s="1049">
        <v>6.4000000000000003E-3</v>
      </c>
      <c r="R137" s="1045">
        <v>4.1000000000000003E-3</v>
      </c>
      <c r="S137" s="1034">
        <f t="shared" si="1"/>
        <v>2.3199999999999998E-2</v>
      </c>
      <c r="T137" s="1014">
        <v>59</v>
      </c>
      <c r="U137" s="1014"/>
      <c r="V137" s="1034">
        <f>IF(C51&lt;=C88,C137,0)</f>
        <v>2.3199999999999998E-2</v>
      </c>
      <c r="W137" s="1034">
        <f>IF(AND(C51&gt;C88,C51&lt;=D88),C137+(C51-C88)*(C137-D137)/(C88-D88),0)</f>
        <v>0</v>
      </c>
      <c r="X137" s="1034">
        <f>IF(AND(C51&gt;D88,C51&lt;=E88),D137+(C51-D88)*(D137-E137)/(D88-E88),0)</f>
        <v>0</v>
      </c>
      <c r="Y137" s="1034">
        <f>IF(AND(C51&gt;E88,C51&lt;=F88),E137+(C51-E88)*(E137-F137)/(E88-F88),0)</f>
        <v>0</v>
      </c>
      <c r="Z137" s="1034">
        <f>IF(AND(C51&gt;F88,C51&lt;=G88),F137+(C51-F88)*(F137-G137)/(F88-G88),0)</f>
        <v>0</v>
      </c>
      <c r="AA137" s="1034">
        <f>IF(AND(C51&gt;G88,C51&lt;=H88),G137+(C51-G88)*(G137-H137)/(G88-H88),0)</f>
        <v>0</v>
      </c>
      <c r="AB137" s="1034">
        <f>IF(AND(C51&gt;H88,C51&lt;=N88),H137+(C51-H88)*(H137-N137)/(H88-N88),0)</f>
        <v>0</v>
      </c>
      <c r="AC137" s="1034">
        <f>IF(AND(C51&gt;N88,C51&lt;=O88),N137+(C51-N88)*(N137-O137)/(N88-O88),0)</f>
        <v>0</v>
      </c>
      <c r="AD137" s="1034">
        <f>IF(AND(C51&gt;O88,C51&lt;=P88),O137+(C51-O88)*(O137-P137)/(O88-P88),0)</f>
        <v>0</v>
      </c>
      <c r="AE137" s="1034">
        <f>IF(AND(C51&gt;P88,C51&lt;=Q88),P137+(C51-P88)*(P137-Q137)/(P88-Q88),0)</f>
        <v>0</v>
      </c>
      <c r="AF137" s="1034">
        <f>IF(AND(C51&gt;Q88,C51&lt;=R88),Q137+(C51-Q88)*(Q137-R137)/(Q88-R88),0)</f>
        <v>0</v>
      </c>
      <c r="AG137" s="1034">
        <f>IF(C51&gt;=R88,R137,0)</f>
        <v>0</v>
      </c>
      <c r="AH137" s="1008"/>
    </row>
    <row r="138" spans="1:34" ht="12.75" x14ac:dyDescent="0.2">
      <c r="A138" s="1009"/>
      <c r="B138" s="1012" t="s">
        <v>1555</v>
      </c>
      <c r="C138" s="1049">
        <v>2.07E-2</v>
      </c>
      <c r="D138" s="1049">
        <v>1.9800000000000002E-2</v>
      </c>
      <c r="E138" s="1039">
        <v>1.72E-2</v>
      </c>
      <c r="F138" s="1049">
        <v>1.35E-2</v>
      </c>
      <c r="G138" s="1049">
        <v>1.23E-2</v>
      </c>
      <c r="H138" s="1049">
        <v>9.1999999999999998E-3</v>
      </c>
      <c r="I138" s="1049"/>
      <c r="J138" s="1049"/>
      <c r="K138" s="1049"/>
      <c r="L138" s="1049"/>
      <c r="M138" s="1049"/>
      <c r="N138" s="1035">
        <v>8.8999999999999999E-3</v>
      </c>
      <c r="O138" s="1049">
        <v>7.6E-3</v>
      </c>
      <c r="P138" s="1049">
        <v>6.4000000000000003E-3</v>
      </c>
      <c r="Q138" s="1049">
        <v>4.8999999999999998E-3</v>
      </c>
      <c r="R138" s="1045"/>
      <c r="S138" s="1034">
        <f t="shared" si="1"/>
        <v>2.07E-2</v>
      </c>
      <c r="T138" s="1014">
        <v>60</v>
      </c>
      <c r="U138" s="1014"/>
      <c r="V138" s="1034">
        <f>IF(C51&lt;=C88,C138,0)</f>
        <v>2.07E-2</v>
      </c>
      <c r="W138" s="1034">
        <f>IF(AND(C51&gt;C88,C51&lt;=D88),C138+(C51-C88)*(C138-D138)/(C88-D88),0)</f>
        <v>0</v>
      </c>
      <c r="X138" s="1034">
        <f>IF(AND(C51&gt;D88,C51&lt;=E88),D138+(C51-D88)*(D138-E138)/(D88-E88),0)</f>
        <v>0</v>
      </c>
      <c r="Y138" s="1034">
        <f>IF(AND(C51&gt;E88,C51&lt;=F88),E138+(C51-E88)*(E138-F138)/(E88-F88),0)</f>
        <v>0</v>
      </c>
      <c r="Z138" s="1034">
        <f>IF(AND(C51&gt;F88,C51&lt;=G88),F138+(C51-F88)*(F138-G138)/(F88-G88),0)</f>
        <v>0</v>
      </c>
      <c r="AA138" s="1034">
        <f>IF(AND(C51&gt;G88,C51&lt;=H88),G138+(C51-G88)*(G138-H138)/(G88-H88),0)</f>
        <v>0</v>
      </c>
      <c r="AB138" s="1034">
        <f>IF(AND(C51&gt;H88,C51&lt;=N88),H138+(C51-H88)*(H138-N138)/(H88-N88),0)</f>
        <v>0</v>
      </c>
      <c r="AC138" s="1034">
        <f>IF(AND(C51&gt;N88,C51&lt;=O88),N138+(C51-N88)*(N138-O138)/(N88-O88),0)</f>
        <v>0</v>
      </c>
      <c r="AD138" s="1034">
        <f>IF(AND(C51&gt;O88,C51&lt;=P88),O138+(C51-O88)*(O138-P138)/(O88-P88),0)</f>
        <v>0</v>
      </c>
      <c r="AE138" s="1034">
        <f>IF(AND(C51&gt;P88,C51&lt;=Q88),P138+(C51-P88)*(P138-Q138)/(P88-Q88),0)</f>
        <v>0</v>
      </c>
      <c r="AF138" s="1034">
        <f>IF(C51&gt;=Q88,Q138,0)</f>
        <v>0</v>
      </c>
      <c r="AG138" s="1034">
        <v>0</v>
      </c>
      <c r="AH138" s="1008"/>
    </row>
    <row r="139" spans="1:34" ht="12.75" x14ac:dyDescent="0.2">
      <c r="A139" s="1009"/>
      <c r="B139" s="1012"/>
      <c r="C139" s="1049"/>
      <c r="D139" s="1049"/>
      <c r="E139" s="1039"/>
      <c r="F139" s="1049"/>
      <c r="G139" s="1049"/>
      <c r="H139" s="1049"/>
      <c r="I139" s="1049"/>
      <c r="J139" s="1049"/>
      <c r="K139" s="1049"/>
      <c r="L139" s="1049"/>
      <c r="M139" s="1049"/>
      <c r="N139" s="1035"/>
      <c r="O139" s="1049"/>
      <c r="P139" s="1049"/>
      <c r="Q139" s="1049"/>
      <c r="R139" s="1045"/>
      <c r="S139" s="1034"/>
      <c r="T139" s="1014"/>
      <c r="U139" s="1014"/>
      <c r="V139" s="1034"/>
      <c r="W139" s="1034"/>
      <c r="X139" s="1034"/>
      <c r="Y139" s="1034"/>
      <c r="Z139" s="1034"/>
      <c r="AA139" s="1034"/>
      <c r="AB139" s="1034"/>
      <c r="AC139" s="1034"/>
      <c r="AD139" s="1034"/>
      <c r="AE139" s="1034"/>
      <c r="AF139" s="1034"/>
      <c r="AG139" s="1034"/>
      <c r="AH139" s="1008"/>
    </row>
    <row r="140" spans="1:34" ht="12.75" x14ac:dyDescent="0.2">
      <c r="A140" s="1036">
        <v>5</v>
      </c>
      <c r="B140" s="1182" t="s">
        <v>1556</v>
      </c>
      <c r="C140" s="1182"/>
      <c r="D140" s="1182"/>
      <c r="E140" s="1182"/>
      <c r="F140" s="1182"/>
      <c r="G140" s="1182"/>
      <c r="H140" s="1182"/>
      <c r="I140" s="1182"/>
      <c r="J140" s="1182"/>
      <c r="K140" s="1182"/>
      <c r="L140" s="1182"/>
      <c r="M140" s="1182"/>
      <c r="N140" s="1182"/>
      <c r="O140" s="1182"/>
      <c r="P140" s="1182"/>
      <c r="Q140" s="1182"/>
      <c r="R140" s="1182"/>
      <c r="S140" s="1011"/>
      <c r="T140" s="1011"/>
      <c r="U140" s="1014"/>
      <c r="V140" s="1034"/>
      <c r="W140" s="1034"/>
      <c r="X140" s="1034"/>
      <c r="Y140" s="1034"/>
      <c r="Z140" s="1034"/>
      <c r="AA140" s="1034"/>
      <c r="AB140" s="1034"/>
      <c r="AC140" s="1034"/>
      <c r="AD140" s="1034"/>
      <c r="AE140" s="1034"/>
      <c r="AF140" s="1034"/>
      <c r="AG140" s="1034"/>
      <c r="AH140" s="1008"/>
    </row>
    <row r="141" spans="1:34" ht="12.75" x14ac:dyDescent="0.2">
      <c r="A141" s="1009"/>
      <c r="B141" s="1169" t="s">
        <v>589</v>
      </c>
      <c r="C141" s="1020" t="s">
        <v>1499</v>
      </c>
      <c r="D141" s="1020"/>
      <c r="E141" s="1021"/>
      <c r="F141" s="1016"/>
      <c r="G141" s="1020"/>
      <c r="H141" s="1020"/>
      <c r="I141" s="1020"/>
      <c r="J141" s="1020"/>
      <c r="K141" s="1020"/>
      <c r="L141" s="1020"/>
      <c r="M141" s="1020"/>
      <c r="N141" s="1022"/>
      <c r="O141" s="1016"/>
      <c r="P141" s="1016"/>
      <c r="Q141" s="1016"/>
      <c r="R141" s="1016"/>
      <c r="S141" s="1016"/>
      <c r="T141" s="1016" t="s">
        <v>1500</v>
      </c>
      <c r="U141" s="1034"/>
      <c r="V141" s="1034"/>
      <c r="W141" s="1034"/>
      <c r="X141" s="1034"/>
      <c r="Y141" s="1034"/>
      <c r="Z141" s="1034"/>
      <c r="AA141" s="1034"/>
      <c r="AB141" s="1034"/>
      <c r="AC141" s="1034"/>
      <c r="AD141" s="1034"/>
      <c r="AE141" s="1034"/>
      <c r="AF141" s="1034"/>
      <c r="AG141" s="1034"/>
      <c r="AH141" s="1008"/>
    </row>
    <row r="142" spans="1:34" ht="12.75" x14ac:dyDescent="0.2">
      <c r="A142" s="1024"/>
      <c r="B142" s="1169"/>
      <c r="C142" s="1051">
        <v>15</v>
      </c>
      <c r="D142" s="1030">
        <v>20</v>
      </c>
      <c r="E142" s="1052">
        <v>50</v>
      </c>
      <c r="F142" s="1030">
        <v>100</v>
      </c>
      <c r="G142" s="1030">
        <v>200</v>
      </c>
      <c r="H142" s="1030">
        <v>500</v>
      </c>
      <c r="I142" s="1030"/>
      <c r="J142" s="1030"/>
      <c r="K142" s="1030"/>
      <c r="L142" s="1030"/>
      <c r="M142" s="1030"/>
      <c r="N142" s="1040">
        <v>1000</v>
      </c>
      <c r="O142" s="1030">
        <v>2000</v>
      </c>
      <c r="P142" s="1030">
        <v>5000</v>
      </c>
      <c r="Q142" s="1030">
        <v>10000</v>
      </c>
      <c r="R142" s="1030">
        <v>20000</v>
      </c>
      <c r="S142" s="1030">
        <v>30000</v>
      </c>
      <c r="T142" s="1029"/>
      <c r="U142" s="1034"/>
      <c r="V142" s="1034"/>
      <c r="W142" s="1034"/>
      <c r="X142" s="1034"/>
      <c r="Y142" s="1034"/>
      <c r="Z142" s="1034"/>
      <c r="AA142" s="1034"/>
      <c r="AB142" s="1034"/>
      <c r="AC142" s="1034"/>
      <c r="AD142" s="1034"/>
      <c r="AE142" s="1034"/>
      <c r="AF142" s="1034"/>
      <c r="AG142" s="1034"/>
      <c r="AH142" s="1008"/>
    </row>
    <row r="143" spans="1:34" ht="12.75" x14ac:dyDescent="0.2">
      <c r="A143" s="1009"/>
      <c r="B143" s="1012" t="s">
        <v>32</v>
      </c>
      <c r="C143" s="1050">
        <v>9.7999999999999997E-4</v>
      </c>
      <c r="D143" s="1050">
        <v>8.0999999999999996E-4</v>
      </c>
      <c r="E143" s="1053">
        <v>6.6E-4</v>
      </c>
      <c r="F143" s="1050">
        <v>4.6999999999999999E-4</v>
      </c>
      <c r="G143" s="1050">
        <v>3.5E-4</v>
      </c>
      <c r="H143" s="1050">
        <v>2.3000000000000001E-4</v>
      </c>
      <c r="I143" s="1050"/>
      <c r="J143" s="1050"/>
      <c r="K143" s="1050"/>
      <c r="L143" s="1050"/>
      <c r="M143" s="1050"/>
      <c r="N143" s="1035">
        <v>2.0000000000000001E-4</v>
      </c>
      <c r="O143" s="1050">
        <v>1.7000000000000001E-4</v>
      </c>
      <c r="P143" s="1050">
        <v>1.3999999999999999E-4</v>
      </c>
      <c r="Q143" s="1050">
        <v>1E-4</v>
      </c>
      <c r="R143" s="1050">
        <v>8.0000000000000007E-5</v>
      </c>
      <c r="S143" s="1050">
        <v>6.0000000000000002E-5</v>
      </c>
      <c r="T143" s="1034">
        <f>SUM(W143:AG143)</f>
        <v>0</v>
      </c>
      <c r="U143" s="1034">
        <f>IF(B51&lt;=C142,C143,0)</f>
        <v>9.7999999999999997E-4</v>
      </c>
      <c r="V143" s="1034">
        <f>IF(AND(B51&gt;C142,B51&lt;=D142),C143+(B51-C142)*(C143-D143)/(C142-D142),0)</f>
        <v>0</v>
      </c>
      <c r="W143" s="1034">
        <f>IF(AND(B51&gt;D142,B51&lt;=E142),D143+(B51-D142)*(D143-E143)/(D142-E142),0)</f>
        <v>0</v>
      </c>
      <c r="X143" s="1034">
        <f>IF(AND(B51&gt;E142,B51&lt;=F142),E143+(B51-E142)*(E143-F143)/(E142-F142),0)</f>
        <v>0</v>
      </c>
      <c r="Y143" s="1034">
        <f>IF(AND(B51&gt;F142,B51&lt;=G142),F143+(B51-F142)*(F143-G143)/(F142-G142),0)</f>
        <v>0</v>
      </c>
      <c r="Z143" s="1034">
        <f>IF(AND(B51&gt;G142,B51&lt;=H142),G143+(B51-G142)*(G143-H143)/(G142-H142),0)</f>
        <v>0</v>
      </c>
      <c r="AA143" s="1034">
        <f>IF(AND(B51&gt;H142,B51&lt;=N142),H143+(B51-H142)*(H143-N143)/(H142-N142),0)</f>
        <v>0</v>
      </c>
      <c r="AB143" s="1034">
        <f>IF(AND(B51&gt;N142,B51&lt;=O142),N143+(B51-N142)*(N143-O143)/(N142-O142),0)</f>
        <v>0</v>
      </c>
      <c r="AC143" s="1034">
        <f>IF(AND(B51&gt;O142,B51&lt;=P142),O143+(B51-O142)*(O143-P143)/(O142-P142),0)</f>
        <v>0</v>
      </c>
      <c r="AD143" s="1034">
        <f>IF(AND(B51&gt;P142,B51&lt;=Q142),P143+(B51-P142)*(P143-Q143)/(P142-Q142),0)</f>
        <v>0</v>
      </c>
      <c r="AE143" s="1034">
        <f>IF(AND(B51&gt;Q142,B51&lt;=R142),Q143+(B51-Q142)*(Q143-R143)/(Q142-R142),0)</f>
        <v>0</v>
      </c>
      <c r="AF143" s="1034">
        <f>IF(AND(B51&gt;R142,B51&lt;=S142),R143+(B51-R142)*(R143-S143)/(R142-S142),0)</f>
        <v>0</v>
      </c>
      <c r="AG143" s="1034">
        <f>IF(B51&gt;=S142,S143,0)</f>
        <v>0</v>
      </c>
      <c r="AH143" s="1008"/>
    </row>
    <row r="144" spans="1:34" ht="12.75" x14ac:dyDescent="0.2">
      <c r="A144" s="1009"/>
      <c r="B144" s="1012" t="s">
        <v>1130</v>
      </c>
      <c r="C144" s="1050">
        <v>1.4E-3</v>
      </c>
      <c r="D144" s="1050">
        <v>1.1900000000000001E-3</v>
      </c>
      <c r="E144" s="1053">
        <v>9.5E-4</v>
      </c>
      <c r="F144" s="1050">
        <v>6.9999999999999999E-4</v>
      </c>
      <c r="G144" s="1050">
        <v>5.5000000000000003E-4</v>
      </c>
      <c r="H144" s="1050">
        <v>4.0999999999999999E-4</v>
      </c>
      <c r="I144" s="1050"/>
      <c r="J144" s="1050"/>
      <c r="K144" s="1050"/>
      <c r="L144" s="1050"/>
      <c r="M144" s="1050"/>
      <c r="N144" s="1035">
        <v>3.6000000000000002E-4</v>
      </c>
      <c r="O144" s="1050">
        <v>2.9E-4</v>
      </c>
      <c r="P144" s="1050">
        <v>2.5000000000000001E-4</v>
      </c>
      <c r="Q144" s="1050">
        <v>1.4999999999999999E-4</v>
      </c>
      <c r="R144" s="1050">
        <v>1E-4</v>
      </c>
      <c r="S144" s="1050">
        <v>6.9999999999999994E-5</v>
      </c>
      <c r="T144" s="1034">
        <f>SUM(W144:AG144)</f>
        <v>0</v>
      </c>
      <c r="U144" s="1034">
        <f>IF(B51&lt;=C142,C144,0)</f>
        <v>1.4E-3</v>
      </c>
      <c r="V144" s="1034">
        <f>IF(AND(B51&gt;C142,B51&lt;=D142),C144+(B51-C142)*(C144-D144)/(C142-D142),0)</f>
        <v>0</v>
      </c>
      <c r="W144" s="1034">
        <f>IF(AND(B51&gt;D142,B51&lt;=E142),D144+(B51-D142)*(D144-E144)/(D142-E142),0)</f>
        <v>0</v>
      </c>
      <c r="X144" s="1034">
        <f>IF(AND(B51&gt;E142,B51&lt;=F142),E144+(B51-E142)*(E144-F144)/(E142-F142),0)</f>
        <v>0</v>
      </c>
      <c r="Y144" s="1034">
        <f>IF(AND(B51&gt;F142,B51&lt;=G142),F144+(B51-F142)*(F144-G144)/(F142-G142),0)</f>
        <v>0</v>
      </c>
      <c r="Z144" s="1034">
        <f>IF(AND(B51&gt;G142,B51&lt;=H142),G144+(B51-G142)*(G144-H144)/(G142-H142),0)</f>
        <v>0</v>
      </c>
      <c r="AA144" s="1034">
        <f>IF(AND(B51&gt;H142,B51&lt;=N142),H144+(B51-H142)*(H144-N144)/(H142-N142),0)</f>
        <v>0</v>
      </c>
      <c r="AB144" s="1034">
        <f>IF(AND(B51&gt;N142,B51&lt;=O142),N144+(B51-N142)*(N144-O144)/(N142-O142),0)</f>
        <v>0</v>
      </c>
      <c r="AC144" s="1034">
        <f>IF(AND(B51&gt;O142,B51&lt;=P142),O144+(B51-O142)*(O144-P144)/(O142-P142),0)</f>
        <v>0</v>
      </c>
      <c r="AD144" s="1034">
        <f>IF(AND(B51&gt;P142,B51&lt;=Q142),P144+(B51-P142)*(P144-Q144)/(P142-Q142),0)</f>
        <v>0</v>
      </c>
      <c r="AE144" s="1034">
        <f>IF(AND(B51&gt;Q142,B51&lt;=R142),Q144+(B51-Q142)*(Q144-R144)/(Q142-R142),0)</f>
        <v>0</v>
      </c>
      <c r="AF144" s="1034">
        <f>IF(AND(B51&gt;R142,B51&lt;=S142),R144+(B51-R142)*(R144-S144)/(R142-S142),0)</f>
        <v>0</v>
      </c>
      <c r="AG144" s="1034">
        <f>IF(B51&gt;=S142,S144,0)</f>
        <v>0</v>
      </c>
      <c r="AH144" s="1008"/>
    </row>
    <row r="145" spans="1:34" ht="12.75" x14ac:dyDescent="0.2">
      <c r="A145" s="1009"/>
      <c r="B145" s="1012" t="s">
        <v>71</v>
      </c>
      <c r="C145" s="1050">
        <v>7.3999999999999999E-4</v>
      </c>
      <c r="D145" s="1050">
        <v>6.7000000000000002E-4</v>
      </c>
      <c r="E145" s="1053">
        <v>5.4000000000000001E-4</v>
      </c>
      <c r="F145" s="1050">
        <v>4.2000000000000002E-4</v>
      </c>
      <c r="G145" s="1050">
        <v>2.9E-4</v>
      </c>
      <c r="H145" s="1050">
        <v>1.8000000000000001E-4</v>
      </c>
      <c r="I145" s="1050"/>
      <c r="J145" s="1050"/>
      <c r="K145" s="1050"/>
      <c r="L145" s="1050"/>
      <c r="M145" s="1050"/>
      <c r="N145" s="1035">
        <v>1.6000000000000001E-4</v>
      </c>
      <c r="O145" s="1050">
        <v>1.2999999999999999E-4</v>
      </c>
      <c r="P145" s="1050">
        <v>1.1E-4</v>
      </c>
      <c r="Q145" s="1050">
        <v>6.9999999999999994E-5</v>
      </c>
      <c r="R145" s="1050">
        <v>5.0000000000000002E-5</v>
      </c>
      <c r="S145" s="1050">
        <v>4.0000000000000003E-5</v>
      </c>
      <c r="T145" s="1034">
        <f>SUM(W145:AG145)</f>
        <v>0</v>
      </c>
      <c r="U145" s="1034">
        <f>IF(B51&lt;=C142,C145,0)</f>
        <v>7.3999999999999999E-4</v>
      </c>
      <c r="V145" s="1034">
        <f>IF(AND(B51&gt;C142,B51&lt;=D142),C145+(B51-C142)*(C145-D145)/(C142-D142),0)</f>
        <v>0</v>
      </c>
      <c r="W145" s="1034">
        <f>IF(AND(B51&gt;D142,B51&lt;=E142),D145+(B51-D142)*(D145-E145)/(D142-E142),0)</f>
        <v>0</v>
      </c>
      <c r="X145" s="1034">
        <f>IF(AND(B51&gt;E142,B51&lt;=F142),E145+(B51-E142)*(E145-F145)/(E142-F142),0)</f>
        <v>0</v>
      </c>
      <c r="Y145" s="1034">
        <f>IF(AND(B51&gt;F142,B51&lt;=G142),F145+(B51-F142)*(F145-G145)/(F142-G142),0)</f>
        <v>0</v>
      </c>
      <c r="Z145" s="1034">
        <f>IF(AND(B51&gt;G142,B51&lt;=H142),G145+(B51-G142)*(G145-H145)/(G142-H142),0)</f>
        <v>0</v>
      </c>
      <c r="AA145" s="1034">
        <f>IF(AND(B51&gt;H142,B51&lt;=N142),H145+(B51-H142)*(H145-N145)/(H142-N142),0)</f>
        <v>0</v>
      </c>
      <c r="AB145" s="1034">
        <f>IF(AND(B51&gt;N142,B51&lt;=O142),N145+(B51-N142)*(N145-O145)/(N142-O142),0)</f>
        <v>0</v>
      </c>
      <c r="AC145" s="1034">
        <f>IF(AND(B51&gt;O142,B51&lt;=P142),O145+(B51-O142)*(O145-P145)/(O142-P142),0)</f>
        <v>0</v>
      </c>
      <c r="AD145" s="1034">
        <f>IF(AND(B51&gt;P142,B51&lt;=Q142),P145+(B51-P142)*(P145-Q145)/(P142-Q142),0)</f>
        <v>0</v>
      </c>
      <c r="AE145" s="1034">
        <f>IF(AND(B51&gt;Q142,B51&lt;=R142),Q145+(B51-Q142)*(Q145-R145)/(Q142-R142),0)</f>
        <v>0</v>
      </c>
      <c r="AF145" s="1034">
        <f>IF(AND(B51&gt;R142,B51&lt;=S142),R145+(B51-R142)*(R145-S145)/(R142-S142),0)</f>
        <v>0</v>
      </c>
      <c r="AG145" s="1034">
        <f>IF(B51&gt;=S142,S145,0)</f>
        <v>0</v>
      </c>
      <c r="AH145" s="1008"/>
    </row>
    <row r="146" spans="1:34" ht="12.75" x14ac:dyDescent="0.2">
      <c r="A146" s="1009"/>
      <c r="B146" s="1012" t="s">
        <v>1501</v>
      </c>
      <c r="C146" s="1050">
        <v>8.8000000000000003E-4</v>
      </c>
      <c r="D146" s="1050">
        <v>8.0000000000000004E-4</v>
      </c>
      <c r="E146" s="1053">
        <v>6.4000000000000005E-4</v>
      </c>
      <c r="F146" s="1050">
        <v>4.4999999999999999E-4</v>
      </c>
      <c r="G146" s="1050">
        <v>3.4000000000000002E-4</v>
      </c>
      <c r="H146" s="1050">
        <v>2.2000000000000001E-4</v>
      </c>
      <c r="I146" s="1050"/>
      <c r="J146" s="1050"/>
      <c r="K146" s="1050"/>
      <c r="L146" s="1050"/>
      <c r="M146" s="1050"/>
      <c r="N146" s="1035">
        <v>1.9000000000000001E-4</v>
      </c>
      <c r="O146" s="1050">
        <v>1.6000000000000001E-4</v>
      </c>
      <c r="P146" s="1050">
        <v>1.2999999999999999E-4</v>
      </c>
      <c r="Q146" s="1050">
        <v>9.0000000000000006E-5</v>
      </c>
      <c r="R146" s="1050">
        <v>6.9999999999999994E-5</v>
      </c>
      <c r="S146" s="1050">
        <v>5.0000000000000002E-5</v>
      </c>
      <c r="T146" s="1034">
        <f>SUM(W146:AG146)</f>
        <v>0</v>
      </c>
      <c r="U146" s="1034">
        <f>IF(B51&lt;=C142,C146,0)</f>
        <v>8.8000000000000003E-4</v>
      </c>
      <c r="V146" s="1034">
        <f>IF(AND(B51&gt;C142,B51&lt;=D142),C146+(B51-C142)*(C146-D146)/(C142-D142),0)</f>
        <v>0</v>
      </c>
      <c r="W146" s="1034">
        <f>IF(AND(B51&gt;D142,B51&lt;=E142),D146+(B51-D142)*(D146-E146)/(D142-E142),0)</f>
        <v>0</v>
      </c>
      <c r="X146" s="1034">
        <f>IF(AND(B51&gt;E142,B51&lt;=F142),E146+(B51-E142)*(E146-F146)/(E142-F142),0)</f>
        <v>0</v>
      </c>
      <c r="Y146" s="1034">
        <f>IF(AND(B51&gt;F142,B51&lt;=G142),F146+(B51-F142)*(F146-G146)/(F142-G142),0)</f>
        <v>0</v>
      </c>
      <c r="Z146" s="1034">
        <f>IF(AND(B51&gt;G142,B51&lt;=H142),G146+(B51-G142)*(G146-H146)/(G142-H142),0)</f>
        <v>0</v>
      </c>
      <c r="AA146" s="1034">
        <f>IF(AND(B51&gt;H142,B51&lt;=N142),H146+(B51-H142)*(H146-N146)/(H142-N142),0)</f>
        <v>0</v>
      </c>
      <c r="AB146" s="1034">
        <f>IF(AND(B51&gt;N142,B51&lt;=O142),N146+(B51-N142)*(N146-O146)/(N142-O142),0)</f>
        <v>0</v>
      </c>
      <c r="AC146" s="1034">
        <f>IF(AND(B51&gt;O142,B51&lt;=P142),O146+(B51-O142)*(O146-P146)/(O142-P142),0)</f>
        <v>0</v>
      </c>
      <c r="AD146" s="1034">
        <f>IF(AND(B51&gt;P142,B51&lt;=Q142),P146+(B51-P142)*(P146-Q146)/(P142-Q142),0)</f>
        <v>0</v>
      </c>
      <c r="AE146" s="1034">
        <f>IF(AND(B51&gt;Q142,B51&lt;=R142),Q146+(B51-Q142)*(Q146-R146)/(Q142-R142),0)</f>
        <v>0</v>
      </c>
      <c r="AF146" s="1034">
        <f>IF(AND(B51&gt;R142,B51&lt;=S142),R146+(B51-R142)*(R146-S146)/(R142-S142),0)</f>
        <v>0</v>
      </c>
      <c r="AG146" s="1034">
        <f>IF(B51&gt;=S142,S146,0)</f>
        <v>0</v>
      </c>
      <c r="AH146" s="1008"/>
    </row>
    <row r="147" spans="1:34" ht="12.75" x14ac:dyDescent="0.2">
      <c r="A147" s="1009"/>
      <c r="B147" s="1012" t="s">
        <v>500</v>
      </c>
      <c r="C147" s="1050">
        <v>7.6999999999999996E-4</v>
      </c>
      <c r="D147" s="1050">
        <v>6.9999999999999999E-4</v>
      </c>
      <c r="E147" s="1053">
        <v>5.5999999999999995E-4</v>
      </c>
      <c r="F147" s="1050">
        <v>4.4000000000000002E-4</v>
      </c>
      <c r="G147" s="1050">
        <v>2.9999999999999997E-4</v>
      </c>
      <c r="H147" s="1050">
        <v>1.9000000000000001E-4</v>
      </c>
      <c r="I147" s="1050"/>
      <c r="J147" s="1050"/>
      <c r="K147" s="1050"/>
      <c r="L147" s="1050"/>
      <c r="M147" s="1050"/>
      <c r="N147" s="1035">
        <v>1.7000000000000001E-4</v>
      </c>
      <c r="O147" s="1050">
        <v>1.3999999999999999E-4</v>
      </c>
      <c r="P147" s="1050">
        <v>1.2E-4</v>
      </c>
      <c r="Q147" s="1050">
        <v>8.0000000000000007E-5</v>
      </c>
      <c r="R147" s="1050">
        <v>6.0000000000000002E-5</v>
      </c>
      <c r="S147" s="1050">
        <v>4.0000000000000003E-5</v>
      </c>
      <c r="T147" s="1034">
        <f>SUM(W147:AG147)</f>
        <v>0</v>
      </c>
      <c r="U147" s="1034">
        <f>IF(B51&lt;=C142,C147,0)</f>
        <v>7.6999999999999996E-4</v>
      </c>
      <c r="V147" s="1034">
        <f>IF(AND(B51&gt;C142,B51&lt;=D142),C147+(B51-C142)*(C147-D147)/(C142-D142),0)</f>
        <v>0</v>
      </c>
      <c r="W147" s="1034">
        <f>IF(AND(B51&gt;D142,B51&lt;=E142),D147+(B51-D142)*(D147-E147)/(D142-E142),0)</f>
        <v>0</v>
      </c>
      <c r="X147" s="1034">
        <f>IF(AND(B51&gt;E142,B51&lt;=F142),E147+(B51-E142)*(E147-F147)/(E142-F142),0)</f>
        <v>0</v>
      </c>
      <c r="Y147" s="1034">
        <f>IF(AND(B51&gt;F142,B51&lt;=G142),F147+(B51-F142)*(F147-G147)/(F142-G142),0)</f>
        <v>0</v>
      </c>
      <c r="Z147" s="1034">
        <f>IF(AND(B51&gt;G142,B51&lt;=H142),G147+(B51-G142)*(G147-H147)/(G142-H142),0)</f>
        <v>0</v>
      </c>
      <c r="AA147" s="1034">
        <f>IF(AND(B51&gt;H142,B51&lt;=N142),H147+(B51-H142)*(H147-N147)/(H142-N142),0)</f>
        <v>0</v>
      </c>
      <c r="AB147" s="1034">
        <f>IF(AND(B51&gt;N142,B51&lt;=O142),N147+(B51-N142)*(N147-O147)/(N142-O142),0)</f>
        <v>0</v>
      </c>
      <c r="AC147" s="1034">
        <f>IF(AND(B51&gt;O142,B51&lt;=P142),O147+(B51-O142)*(O147-P147)/(O142-P142),0)</f>
        <v>0</v>
      </c>
      <c r="AD147" s="1034">
        <f>IF(AND(B51&gt;P142,B51&lt;=Q142),P147+(B51-P142)*(P147-Q147)/(P142-Q142),0)</f>
        <v>0</v>
      </c>
      <c r="AE147" s="1034">
        <f>IF(AND(B51&gt;Q142,B51&lt;=R142),Q147+(B51-Q142)*(Q147-R147)/(Q142-R142),0)</f>
        <v>0</v>
      </c>
      <c r="AF147" s="1034">
        <f>IF(AND(B51&gt;R142,B51&lt;=S142),R147+(B51-R142)*(R147-S147)/(R142-S142),0)</f>
        <v>0</v>
      </c>
      <c r="AG147" s="1034">
        <f>IF(B51&gt;=S142,S147,0)</f>
        <v>0</v>
      </c>
      <c r="AH147" s="1008"/>
    </row>
    <row r="148" spans="1:34" ht="12.75" x14ac:dyDescent="0.2">
      <c r="A148" s="1009"/>
      <c r="B148" s="1011"/>
      <c r="C148" s="1018"/>
      <c r="D148" s="1018"/>
      <c r="E148" s="1019"/>
      <c r="F148" s="1011"/>
      <c r="G148" s="1018"/>
      <c r="H148" s="1018"/>
      <c r="I148" s="1018"/>
      <c r="J148" s="1018"/>
      <c r="K148" s="1018"/>
      <c r="L148" s="1018"/>
      <c r="M148" s="1018"/>
      <c r="N148" s="1033"/>
      <c r="O148" s="1011"/>
      <c r="P148" s="1011"/>
      <c r="Q148" s="1011"/>
      <c r="R148" s="1032"/>
      <c r="S148" s="1011"/>
      <c r="T148" s="1011"/>
      <c r="U148" s="1034"/>
      <c r="V148" s="1034"/>
      <c r="W148" s="1034"/>
      <c r="X148" s="1034"/>
      <c r="Y148" s="1034"/>
      <c r="Z148" s="1034"/>
      <c r="AA148" s="1034"/>
      <c r="AB148" s="1034"/>
      <c r="AC148" s="1034"/>
      <c r="AD148" s="1034"/>
      <c r="AE148" s="1034"/>
      <c r="AF148" s="1034"/>
      <c r="AG148" s="1034"/>
      <c r="AH148" s="1008"/>
    </row>
    <row r="149" spans="1:34" ht="12.75" x14ac:dyDescent="0.2">
      <c r="A149" s="1036">
        <v>6</v>
      </c>
      <c r="B149" s="1182" t="s">
        <v>1557</v>
      </c>
      <c r="C149" s="1182"/>
      <c r="D149" s="1182"/>
      <c r="E149" s="1182"/>
      <c r="F149" s="1182"/>
      <c r="G149" s="1182"/>
      <c r="H149" s="1182"/>
      <c r="I149" s="1182"/>
      <c r="J149" s="1182"/>
      <c r="K149" s="1182"/>
      <c r="L149" s="1182"/>
      <c r="M149" s="1182"/>
      <c r="N149" s="1182"/>
      <c r="O149" s="1182"/>
      <c r="P149" s="1182"/>
      <c r="Q149" s="1182"/>
      <c r="R149" s="1182"/>
      <c r="S149" s="1011"/>
      <c r="T149" s="1011"/>
      <c r="U149" s="1014"/>
      <c r="V149" s="1011"/>
      <c r="W149" s="1011"/>
      <c r="X149" s="1008"/>
      <c r="Y149" s="1008"/>
      <c r="Z149" s="1008"/>
      <c r="AA149" s="1008"/>
      <c r="AB149" s="1008"/>
      <c r="AC149" s="1008"/>
      <c r="AD149" s="1008"/>
      <c r="AE149" s="1015"/>
      <c r="AF149" s="1008"/>
      <c r="AG149" s="1008"/>
      <c r="AH149" s="1008"/>
    </row>
    <row r="150" spans="1:34" ht="12.75" x14ac:dyDescent="0.2">
      <c r="A150" s="1009"/>
      <c r="B150" s="1169" t="s">
        <v>589</v>
      </c>
      <c r="C150" s="1020" t="s">
        <v>1171</v>
      </c>
      <c r="D150" s="1020"/>
      <c r="E150" s="1021"/>
      <c r="F150" s="1016"/>
      <c r="G150" s="1020"/>
      <c r="H150" s="1020"/>
      <c r="I150" s="1020"/>
      <c r="J150" s="1020"/>
      <c r="K150" s="1020"/>
      <c r="L150" s="1020"/>
      <c r="M150" s="1020"/>
      <c r="N150" s="1022"/>
      <c r="O150" s="1016"/>
      <c r="P150" s="1016"/>
      <c r="Q150" s="1016"/>
      <c r="R150" s="1016" t="s">
        <v>1500</v>
      </c>
      <c r="S150" s="1011"/>
      <c r="T150" s="1011"/>
      <c r="U150" s="1014"/>
      <c r="V150" s="1011"/>
      <c r="W150" s="1011"/>
      <c r="X150" s="1008"/>
      <c r="Y150" s="1008"/>
      <c r="Z150" s="1008"/>
      <c r="AA150" s="1008"/>
      <c r="AB150" s="1008"/>
      <c r="AC150" s="1008"/>
      <c r="AD150" s="1008"/>
      <c r="AE150" s="1015"/>
      <c r="AF150" s="1008"/>
      <c r="AG150" s="1008"/>
      <c r="AH150" s="1008"/>
    </row>
    <row r="151" spans="1:34" ht="12.75" x14ac:dyDescent="0.2">
      <c r="A151" s="1024"/>
      <c r="B151" s="1169"/>
      <c r="C151" s="1051">
        <v>10</v>
      </c>
      <c r="D151" s="1030">
        <v>20</v>
      </c>
      <c r="E151" s="1052">
        <v>50</v>
      </c>
      <c r="F151" s="1030">
        <v>100</v>
      </c>
      <c r="G151" s="1030">
        <v>200</v>
      </c>
      <c r="H151" s="1030">
        <v>500</v>
      </c>
      <c r="I151" s="1030"/>
      <c r="J151" s="1030"/>
      <c r="K151" s="1030"/>
      <c r="L151" s="1030"/>
      <c r="M151" s="1030"/>
      <c r="N151" s="1040">
        <v>1000</v>
      </c>
      <c r="O151" s="1030">
        <v>2000</v>
      </c>
      <c r="P151" s="1030">
        <v>5000</v>
      </c>
      <c r="Q151" s="1030">
        <v>8000</v>
      </c>
      <c r="R151" s="1029"/>
      <c r="S151" s="1034"/>
      <c r="T151" s="1034"/>
      <c r="U151" s="1034"/>
      <c r="V151" s="1034"/>
      <c r="W151" s="1034"/>
      <c r="X151" s="1034"/>
      <c r="Y151" s="1034"/>
      <c r="Z151" s="1034"/>
      <c r="AA151" s="1034"/>
      <c r="AB151" s="1034"/>
      <c r="AC151" s="1034"/>
      <c r="AD151" s="1034"/>
      <c r="AE151" s="1015"/>
      <c r="AF151" s="1008"/>
      <c r="AG151" s="1008"/>
      <c r="AH151" s="1008"/>
    </row>
    <row r="152" spans="1:34" ht="12.75" x14ac:dyDescent="0.2">
      <c r="A152" s="1009"/>
      <c r="B152" s="1012" t="s">
        <v>32</v>
      </c>
      <c r="C152" s="1050">
        <v>2.0600000000000002E-3</v>
      </c>
      <c r="D152" s="1050">
        <v>1.7899999999999999E-3</v>
      </c>
      <c r="E152" s="1053">
        <v>1.3799999999999999E-3</v>
      </c>
      <c r="F152" s="1050">
        <v>1.06E-3</v>
      </c>
      <c r="G152" s="1050">
        <v>8.0999999999999996E-4</v>
      </c>
      <c r="H152" s="1050">
        <v>6.3000000000000003E-4</v>
      </c>
      <c r="I152" s="1050"/>
      <c r="J152" s="1050"/>
      <c r="K152" s="1050"/>
      <c r="L152" s="1050"/>
      <c r="M152" s="1050"/>
      <c r="N152" s="1035">
        <v>5.1000000000000004E-4</v>
      </c>
      <c r="O152" s="1050">
        <v>3.6000000000000002E-4</v>
      </c>
      <c r="P152" s="1050">
        <v>2.7999999999999998E-4</v>
      </c>
      <c r="Q152" s="1050">
        <v>2.4000000000000001E-4</v>
      </c>
      <c r="R152" s="1034">
        <f>SUM(S152:AC152)</f>
        <v>2.0600000000000002E-3</v>
      </c>
      <c r="S152" s="1034">
        <f>IF(C51&lt;=C151,C152,0)</f>
        <v>2.0600000000000002E-3</v>
      </c>
      <c r="T152" s="1034">
        <f>IF(AND(C51&gt;C151,C51&lt;=D151),C152+(C51-C151)*(C152-D152)/(C151-D151),0)</f>
        <v>0</v>
      </c>
      <c r="U152" s="1034">
        <f>IF(AND(C51&gt;D151,C51&lt;=E151),D152+(C51-D151)*(D152-E152)/(D151-E151),0)</f>
        <v>0</v>
      </c>
      <c r="V152" s="1034">
        <f>IF(AND(C51&gt;E151,C51&lt;=F151),E152+(C51-E151)*(E152-F152)/(E151-F151),0)</f>
        <v>0</v>
      </c>
      <c r="W152" s="1034">
        <f>IF(AND(C51&gt;F151,C51&lt;=G151),F152+(C51-F151)*(F152-G152)/(F151-G151),0)</f>
        <v>0</v>
      </c>
      <c r="X152" s="1034">
        <f>IF(AND(C51&gt;G151,C51&lt;=H151),G152+(C51-G151)*(G152-H152)/(G151-H151),0)</f>
        <v>0</v>
      </c>
      <c r="Y152" s="1034">
        <f>IF(AND(C51&gt;H151,C51&lt;=N151),H152+(C51-H151)*(H152-N152)/(H151-N151),0)</f>
        <v>0</v>
      </c>
      <c r="Z152" s="1034">
        <f>IF(AND(C51&gt;N151,C51&lt;=O151),N152+(C51-N151)*(N152-O152)/(N151-O151),0)</f>
        <v>0</v>
      </c>
      <c r="AA152" s="1034">
        <f>IF(AND(C51&gt;O151,C51&lt;=P151),O152+(C51-O151)*(O152-P152)/(O151-P151),0)</f>
        <v>0</v>
      </c>
      <c r="AB152" s="1034">
        <f>IF(AND(C51&gt;P151,C51&lt;=Q151),P152+(C51-P151)*(P152-Q152)/(P151-Q151),0)</f>
        <v>0</v>
      </c>
      <c r="AC152" s="1034">
        <f>IF(C51&gt;=Q151,Q152,0)</f>
        <v>0</v>
      </c>
      <c r="AD152" s="1034"/>
      <c r="AE152" s="1015"/>
      <c r="AF152" s="1008"/>
      <c r="AG152" s="1008"/>
      <c r="AH152" s="1008"/>
    </row>
    <row r="153" spans="1:34" ht="12.75" x14ac:dyDescent="0.2">
      <c r="A153" s="1009"/>
      <c r="B153" s="1012" t="s">
        <v>1130</v>
      </c>
      <c r="C153" s="1050">
        <v>2.3800000000000002E-3</v>
      </c>
      <c r="D153" s="1050">
        <v>2.0600000000000002E-3</v>
      </c>
      <c r="E153" s="1053">
        <v>1.58E-3</v>
      </c>
      <c r="F153" s="1050">
        <v>1.2099999999999999E-3</v>
      </c>
      <c r="G153" s="1050">
        <v>9.3999999999999997E-4</v>
      </c>
      <c r="H153" s="1050">
        <v>7.2999999999999996E-4</v>
      </c>
      <c r="I153" s="1050"/>
      <c r="J153" s="1050"/>
      <c r="K153" s="1050"/>
      <c r="L153" s="1050"/>
      <c r="M153" s="1050"/>
      <c r="N153" s="1035">
        <v>5.5000000000000003E-4</v>
      </c>
      <c r="O153" s="1050">
        <v>4.4000000000000002E-4</v>
      </c>
      <c r="P153" s="1050">
        <v>3.3E-4</v>
      </c>
      <c r="Q153" s="1050">
        <v>2.7999999999999998E-4</v>
      </c>
      <c r="R153" s="1034">
        <f>SUM(S153:AC153)</f>
        <v>2.3800000000000002E-3</v>
      </c>
      <c r="S153" s="1034">
        <f>IF(C51&lt;=C151,C153,0)</f>
        <v>2.3800000000000002E-3</v>
      </c>
      <c r="T153" s="1034">
        <f>IF(AND(C51&gt;C151,C51&lt;=D151),C153+(C51-C151)*(C153-D153)/(C151-D151),0)</f>
        <v>0</v>
      </c>
      <c r="U153" s="1034">
        <f>IF(AND(C51&gt;D151,C51&lt;=E151),D153+(C51-D151)*(D153-E153)/(D151-E151),0)</f>
        <v>0</v>
      </c>
      <c r="V153" s="1034">
        <f>IF(AND(C51&gt;E151,C51&lt;=F151),E153+(C51-E151)*(E153-F153)/(E151-F151),0)</f>
        <v>0</v>
      </c>
      <c r="W153" s="1034">
        <f>IF(AND(C51&gt;F151,C51&lt;=G151),F153+(C51-F151)*(F153-G153)/(F151-G151),0)</f>
        <v>0</v>
      </c>
      <c r="X153" s="1034">
        <f>IF(AND(C51&gt;G151,C51&lt;=H151),G153+(C51-G151)*(G153-H153)/(G151-H151),0)</f>
        <v>0</v>
      </c>
      <c r="Y153" s="1034">
        <f>IF(AND(C51&gt;H151,C51&lt;=N151),H153+(C51-H151)*(H153-N153)/(H151-N151),0)</f>
        <v>0</v>
      </c>
      <c r="Z153" s="1034">
        <f>IF(AND(C51&gt;N151,C51&lt;=O151),N153+(C51-N151)*(N153-O153)/(N151-O151),0)</f>
        <v>0</v>
      </c>
      <c r="AA153" s="1034">
        <f>IF(AND(C51&gt;O151,C51&lt;=P151),O153+(C51-O151)*(O153-P153)/(O151-P151),0)</f>
        <v>0</v>
      </c>
      <c r="AB153" s="1034">
        <f>IF(AND(C51&gt;P151,C51&lt;=Q151),P153+(C51-P151)*(P153-Q153)/(P151-Q151),0)</f>
        <v>0</v>
      </c>
      <c r="AC153" s="1034">
        <f>IF(C51&gt;=Q151,Q153,0)</f>
        <v>0</v>
      </c>
      <c r="AD153" s="1034"/>
      <c r="AE153" s="1015"/>
      <c r="AF153" s="1008"/>
      <c r="AG153" s="1008"/>
      <c r="AH153" s="1008"/>
    </row>
    <row r="154" spans="1:34" ht="12.75" x14ac:dyDescent="0.2">
      <c r="A154" s="1009"/>
      <c r="B154" s="1012" t="s">
        <v>71</v>
      </c>
      <c r="C154" s="1050">
        <v>1.3600000000000001E-3</v>
      </c>
      <c r="D154" s="1050">
        <v>1.1800000000000001E-3</v>
      </c>
      <c r="E154" s="1053">
        <v>8.9999999999999998E-4</v>
      </c>
      <c r="F154" s="1050">
        <v>6.8999999999999997E-4</v>
      </c>
      <c r="G154" s="1050">
        <v>5.4000000000000001E-4</v>
      </c>
      <c r="H154" s="1050">
        <v>4.0999999999999999E-4</v>
      </c>
      <c r="I154" s="1050"/>
      <c r="J154" s="1050"/>
      <c r="K154" s="1050"/>
      <c r="L154" s="1050"/>
      <c r="M154" s="1050"/>
      <c r="N154" s="1035">
        <v>3.1E-4</v>
      </c>
      <c r="O154" s="1050">
        <v>2.5999999999999998E-4</v>
      </c>
      <c r="P154" s="1050">
        <v>2.0000000000000001E-4</v>
      </c>
      <c r="Q154" s="1050">
        <v>1.7000000000000001E-4</v>
      </c>
      <c r="R154" s="1034">
        <f>SUM(S154:AC154)</f>
        <v>1.3600000000000001E-3</v>
      </c>
      <c r="S154" s="1034">
        <f>IF(C51&lt;=C151,C154,0)</f>
        <v>1.3600000000000001E-3</v>
      </c>
      <c r="T154" s="1034">
        <f>IF(AND(C51&gt;C151,C51&lt;=D151),C154+(C51-C151)*(C154-D154)/(C151-D151),0)</f>
        <v>0</v>
      </c>
      <c r="U154" s="1034">
        <f>IF(AND(C51&gt;D151,C51&lt;=E151),D154+(C51-D151)*(D154-E154)/(D151-E151),0)</f>
        <v>0</v>
      </c>
      <c r="V154" s="1034">
        <f>IF(AND(C51&gt;E151,C51&lt;=F151),E154+(C51-E151)*(E154-F154)/(E151-F151),0)</f>
        <v>0</v>
      </c>
      <c r="W154" s="1034">
        <f>IF(AND(C51&gt;F151,C51&lt;=G151),F154+(C51-F151)*(F154-G154)/(F151-G151),0)</f>
        <v>0</v>
      </c>
      <c r="X154" s="1034">
        <f>IF(AND(C51&gt;G151,C51&lt;=H151),G154+(C51-G151)*(G154-H154)/(G151-H151),0)</f>
        <v>0</v>
      </c>
      <c r="Y154" s="1034">
        <f>IF(AND(C51&gt;H151,C51&lt;=N151),H154+(C51-H151)*(H154-N154)/(H151-N151),0)</f>
        <v>0</v>
      </c>
      <c r="Z154" s="1034">
        <f>IF(AND(C51&gt;N151,C51&lt;=O151),N154+(C51-N151)*(N154-O154)/(N151-O151),0)</f>
        <v>0</v>
      </c>
      <c r="AA154" s="1034">
        <f>IF(AND(C51&gt;O151,C51&lt;=P151),O154+(C51-O151)*(O154-P154)/(O151-P151),0)</f>
        <v>0</v>
      </c>
      <c r="AB154" s="1034">
        <f>IF(AND(C51&gt;P151,C51&lt;=Q151),P154+(C51-P151)*(P154-Q154)/(P151-Q151),0)</f>
        <v>0</v>
      </c>
      <c r="AC154" s="1034">
        <f>IF(C51&gt;=Q151,Q154,0)</f>
        <v>0</v>
      </c>
      <c r="AD154" s="1034"/>
      <c r="AE154" s="1015"/>
      <c r="AF154" s="1008"/>
      <c r="AG154" s="1008"/>
      <c r="AH154" s="1008"/>
    </row>
    <row r="155" spans="1:34" ht="12.75" x14ac:dyDescent="0.2">
      <c r="A155" s="1009"/>
      <c r="B155" s="1012" t="s">
        <v>1501</v>
      </c>
      <c r="C155" s="1050">
        <v>1.5100000000000001E-3</v>
      </c>
      <c r="D155" s="1050">
        <v>1.2999999999999999E-3</v>
      </c>
      <c r="E155" s="1053">
        <v>1E-3</v>
      </c>
      <c r="F155" s="1050">
        <v>7.6000000000000004E-4</v>
      </c>
      <c r="G155" s="1050">
        <v>5.9999999999999995E-4</v>
      </c>
      <c r="H155" s="1050">
        <v>4.6000000000000001E-4</v>
      </c>
      <c r="I155" s="1050"/>
      <c r="J155" s="1050"/>
      <c r="K155" s="1050"/>
      <c r="L155" s="1050"/>
      <c r="M155" s="1050"/>
      <c r="N155" s="1035">
        <v>3.5E-4</v>
      </c>
      <c r="O155" s="1050">
        <v>2.9E-4</v>
      </c>
      <c r="P155" s="1050">
        <v>2.1000000000000001E-4</v>
      </c>
      <c r="Q155" s="1050">
        <v>1.8000000000000001E-4</v>
      </c>
      <c r="R155" s="1034">
        <f>SUM(S155:AC155)</f>
        <v>1.5100000000000001E-3</v>
      </c>
      <c r="S155" s="1034">
        <f>IF(C51&lt;=C151,C155,0)</f>
        <v>1.5100000000000001E-3</v>
      </c>
      <c r="T155" s="1034">
        <f>IF(AND(C51&gt;C151,C51&lt;=D151),C155+(C51-C151)*(C155-D155)/(C151-D151),0)</f>
        <v>0</v>
      </c>
      <c r="U155" s="1034">
        <f>IF(AND(C51&gt;D151,C51&lt;=E151),D155+(C51-D151)*(D155-E155)/(D151-E151),0)</f>
        <v>0</v>
      </c>
      <c r="V155" s="1034">
        <f>IF(AND(C51&gt;E151,C51&lt;=F151),E155+(C51-E151)*(E155-F155)/(E151-F151),0)</f>
        <v>0</v>
      </c>
      <c r="W155" s="1034">
        <f>IF(AND(C51&gt;F151,C51&lt;=G151),F155+(C51-F151)*(F155-G155)/(F151-G151),0)</f>
        <v>0</v>
      </c>
      <c r="X155" s="1034">
        <f>IF(AND(C51&gt;G151,C51&lt;=H151),G155+(C51-G151)*(G155-H155)/(G151-H151),0)</f>
        <v>0</v>
      </c>
      <c r="Y155" s="1034">
        <f>IF(AND(C51&gt;H151,C51&lt;=N151),H155+(C51-H151)*(H155-N155)/(H151-N151),0)</f>
        <v>0</v>
      </c>
      <c r="Z155" s="1034">
        <f>IF(AND(C51&gt;N151,C51&lt;=O151),N155+(C51-N151)*(N155-O155)/(N151-O151),0)</f>
        <v>0</v>
      </c>
      <c r="AA155" s="1034">
        <f>IF(AND(C51&gt;O151,C51&lt;=P151),O155+(C51-O151)*(O155-P155)/(O151-P151),0)</f>
        <v>0</v>
      </c>
      <c r="AB155" s="1034">
        <f>IF(AND(C51&gt;P151,C51&lt;=Q151),P155+(C51-P151)*(P155-Q155)/(P151-Q151),0)</f>
        <v>0</v>
      </c>
      <c r="AC155" s="1034">
        <f>IF(C51&gt;=Q151,Q155,0)</f>
        <v>0</v>
      </c>
      <c r="AD155" s="1034"/>
      <c r="AE155" s="1015"/>
      <c r="AF155" s="1008"/>
      <c r="AG155" s="1008"/>
      <c r="AH155" s="1008"/>
    </row>
    <row r="156" spans="1:34" ht="12.75" x14ac:dyDescent="0.2">
      <c r="A156" s="1009"/>
      <c r="B156" s="1012" t="s">
        <v>500</v>
      </c>
      <c r="C156" s="1050">
        <v>1.58E-3</v>
      </c>
      <c r="D156" s="1050">
        <v>1.3799999999999999E-3</v>
      </c>
      <c r="E156" s="1053">
        <v>1.06E-3</v>
      </c>
      <c r="F156" s="1050">
        <v>8.0999999999999996E-4</v>
      </c>
      <c r="G156" s="1050">
        <v>6.3000000000000003E-4</v>
      </c>
      <c r="H156" s="1050">
        <v>4.8999999999999998E-4</v>
      </c>
      <c r="I156" s="1050"/>
      <c r="J156" s="1050"/>
      <c r="K156" s="1050"/>
      <c r="L156" s="1050"/>
      <c r="M156" s="1050"/>
      <c r="N156" s="1035">
        <v>3.8000000000000002E-4</v>
      </c>
      <c r="O156" s="1050">
        <v>3.3E-4</v>
      </c>
      <c r="P156" s="1050">
        <v>2.4000000000000001E-4</v>
      </c>
      <c r="Q156" s="1050">
        <v>2.1000000000000001E-4</v>
      </c>
      <c r="R156" s="1034">
        <f>SUM(S156:AC156)</f>
        <v>1.58E-3</v>
      </c>
      <c r="S156" s="1034">
        <f>IF(C51&lt;=C151,C156,0)</f>
        <v>1.58E-3</v>
      </c>
      <c r="T156" s="1034">
        <f>IF(AND(C51&gt;C151,C51&lt;=D151),C156+(C51-C151)*(C156-D156)/(C151-D151),0)</f>
        <v>0</v>
      </c>
      <c r="U156" s="1034">
        <f>IF(AND(C51&gt;D151,C51&lt;=E151),D156+(C51-D151)*(D156-E156)/(D151-E151),0)</f>
        <v>0</v>
      </c>
      <c r="V156" s="1034">
        <f>IF(AND(C51&gt;E151,C51&lt;=F151),E156+(C51-E151)*(E156-F156)/(E151-F151),0)</f>
        <v>0</v>
      </c>
      <c r="W156" s="1034">
        <f>IF(AND(C51&gt;F151,C51&lt;=G151),F156+(C51-F151)*(F156-G156)/(F151-G151),0)</f>
        <v>0</v>
      </c>
      <c r="X156" s="1034">
        <f>IF(AND(C51&gt;G151,C51&lt;=H151),G156+(C51-G151)*(G156-H156)/(G151-H151),0)</f>
        <v>0</v>
      </c>
      <c r="Y156" s="1034">
        <f>IF(AND(C51&gt;H151,C51&lt;=N151),H156+(C51-H151)*(H156-N156)/(H151-N151),0)</f>
        <v>0</v>
      </c>
      <c r="Z156" s="1034">
        <f>IF(AND(C51&gt;N151,C51&lt;=O151),N156+(C51-N151)*(N156-O156)/(N151-O151),0)</f>
        <v>0</v>
      </c>
      <c r="AA156" s="1034">
        <f>IF(AND(C51&gt;O151,C51&lt;=P151),O156+(C51-O151)*(O156-P156)/(O151-P151),0)</f>
        <v>0</v>
      </c>
      <c r="AB156" s="1034">
        <f>IF(AND(C51&gt;P151,C51&lt;=Q151),P156+(C51-P151)*(P156-Q156)/(P151-Q151),0)</f>
        <v>0</v>
      </c>
      <c r="AC156" s="1034">
        <f>IF(C51&gt;=Q151,Q156,0)</f>
        <v>0</v>
      </c>
      <c r="AD156" s="1034"/>
      <c r="AE156" s="1015"/>
      <c r="AF156" s="1008"/>
      <c r="AG156" s="1008"/>
      <c r="AH156" s="1008"/>
    </row>
    <row r="157" spans="1:34" ht="12.75" x14ac:dyDescent="0.2">
      <c r="A157" s="1009"/>
      <c r="B157" s="1011"/>
      <c r="C157" s="1018"/>
      <c r="D157" s="1018"/>
      <c r="E157" s="1019"/>
      <c r="F157" s="1011"/>
      <c r="G157" s="1018"/>
      <c r="H157" s="1018"/>
      <c r="I157" s="1018"/>
      <c r="J157" s="1018"/>
      <c r="K157" s="1018"/>
      <c r="L157" s="1018"/>
      <c r="M157" s="1018"/>
      <c r="N157" s="1033"/>
      <c r="O157" s="1011"/>
      <c r="P157" s="1011"/>
      <c r="Q157" s="1011"/>
      <c r="R157" s="1011"/>
      <c r="S157" s="1034"/>
      <c r="T157" s="1034"/>
      <c r="U157" s="1034"/>
      <c r="V157" s="1034"/>
      <c r="W157" s="1034"/>
      <c r="X157" s="1034"/>
      <c r="Y157" s="1034"/>
      <c r="Z157" s="1034"/>
      <c r="AA157" s="1034"/>
      <c r="AB157" s="1034"/>
      <c r="AC157" s="1034"/>
      <c r="AD157" s="1034"/>
      <c r="AE157" s="1015"/>
      <c r="AF157" s="1008"/>
      <c r="AG157" s="1008"/>
      <c r="AH157" s="1008"/>
    </row>
    <row r="158" spans="1:34" ht="12.75" x14ac:dyDescent="0.2">
      <c r="A158" s="1036">
        <v>7</v>
      </c>
      <c r="B158" s="1182" t="s">
        <v>1558</v>
      </c>
      <c r="C158" s="1182"/>
      <c r="D158" s="1182"/>
      <c r="E158" s="1182"/>
      <c r="F158" s="1182"/>
      <c r="G158" s="1182"/>
      <c r="H158" s="1182"/>
      <c r="I158" s="1182"/>
      <c r="J158" s="1182"/>
      <c r="K158" s="1182"/>
      <c r="L158" s="1182"/>
      <c r="M158" s="1182"/>
      <c r="N158" s="1182"/>
      <c r="O158" s="1182"/>
      <c r="P158" s="1182"/>
      <c r="Q158" s="1182"/>
      <c r="R158" s="1182"/>
      <c r="S158" s="1034"/>
      <c r="T158" s="1034"/>
      <c r="U158" s="1034"/>
      <c r="V158" s="1034"/>
      <c r="W158" s="1034"/>
      <c r="X158" s="1034"/>
      <c r="Y158" s="1034"/>
      <c r="Z158" s="1034"/>
      <c r="AA158" s="1034"/>
      <c r="AB158" s="1034"/>
      <c r="AC158" s="1034"/>
      <c r="AD158" s="1034"/>
      <c r="AE158" s="1015"/>
      <c r="AF158" s="1008"/>
      <c r="AG158" s="1008"/>
      <c r="AH158" s="1008"/>
    </row>
    <row r="159" spans="1:34" ht="12.75" x14ac:dyDescent="0.2">
      <c r="A159" s="1009"/>
      <c r="B159" s="1169" t="s">
        <v>589</v>
      </c>
      <c r="C159" s="1020" t="s">
        <v>1171</v>
      </c>
      <c r="D159" s="1020"/>
      <c r="E159" s="1021"/>
      <c r="F159" s="1016"/>
      <c r="G159" s="1020"/>
      <c r="H159" s="1020"/>
      <c r="I159" s="1020"/>
      <c r="J159" s="1020"/>
      <c r="K159" s="1020"/>
      <c r="L159" s="1020"/>
      <c r="M159" s="1020"/>
      <c r="N159" s="1022"/>
      <c r="O159" s="1016"/>
      <c r="P159" s="1016"/>
      <c r="Q159" s="1016"/>
      <c r="R159" s="1016" t="s">
        <v>1500</v>
      </c>
      <c r="S159" s="1034"/>
      <c r="T159" s="1034"/>
      <c r="U159" s="1034"/>
      <c r="V159" s="1034"/>
      <c r="W159" s="1034"/>
      <c r="X159" s="1034"/>
      <c r="Y159" s="1034"/>
      <c r="Z159" s="1034"/>
      <c r="AA159" s="1034"/>
      <c r="AB159" s="1034"/>
      <c r="AC159" s="1034"/>
      <c r="AD159" s="1034"/>
      <c r="AE159" s="1015"/>
      <c r="AF159" s="1008"/>
      <c r="AG159" s="1008"/>
      <c r="AH159" s="1008"/>
    </row>
    <row r="160" spans="1:34" ht="12.75" x14ac:dyDescent="0.2">
      <c r="A160" s="1024"/>
      <c r="B160" s="1169"/>
      <c r="C160" s="1051">
        <v>10</v>
      </c>
      <c r="D160" s="1030">
        <v>20</v>
      </c>
      <c r="E160" s="1052">
        <v>50</v>
      </c>
      <c r="F160" s="1030">
        <v>100</v>
      </c>
      <c r="G160" s="1030">
        <v>200</v>
      </c>
      <c r="H160" s="1030">
        <v>500</v>
      </c>
      <c r="I160" s="1030"/>
      <c r="J160" s="1030"/>
      <c r="K160" s="1030"/>
      <c r="L160" s="1030"/>
      <c r="M160" s="1030"/>
      <c r="N160" s="1040">
        <v>1000</v>
      </c>
      <c r="O160" s="1030">
        <v>2000</v>
      </c>
      <c r="P160" s="1030">
        <v>5000</v>
      </c>
      <c r="Q160" s="1030">
        <v>8000</v>
      </c>
      <c r="R160" s="1029"/>
      <c r="S160" s="1034"/>
      <c r="T160" s="1034"/>
      <c r="U160" s="1034"/>
      <c r="V160" s="1034"/>
      <c r="W160" s="1034"/>
      <c r="X160" s="1034"/>
      <c r="Y160" s="1034"/>
      <c r="Z160" s="1034"/>
      <c r="AA160" s="1034"/>
      <c r="AB160" s="1034"/>
      <c r="AC160" s="1034"/>
      <c r="AD160" s="1034"/>
      <c r="AE160" s="1015"/>
      <c r="AF160" s="1008"/>
      <c r="AG160" s="1008"/>
      <c r="AH160" s="1008"/>
    </row>
    <row r="161" spans="1:34" ht="12.75" x14ac:dyDescent="0.2">
      <c r="A161" s="1009"/>
      <c r="B161" s="1012" t="s">
        <v>32</v>
      </c>
      <c r="C161" s="1050">
        <v>2E-3</v>
      </c>
      <c r="D161" s="1050">
        <v>1.75E-3</v>
      </c>
      <c r="E161" s="1053">
        <v>1.33E-3</v>
      </c>
      <c r="F161" s="1050">
        <v>1.0399999999999999E-3</v>
      </c>
      <c r="G161" s="1050">
        <v>7.7999999999999999E-4</v>
      </c>
      <c r="H161" s="1050">
        <v>5.8E-4</v>
      </c>
      <c r="I161" s="1050"/>
      <c r="J161" s="1050"/>
      <c r="K161" s="1050"/>
      <c r="L161" s="1050"/>
      <c r="M161" s="1050"/>
      <c r="N161" s="1035">
        <v>4.8000000000000001E-4</v>
      </c>
      <c r="O161" s="1050">
        <v>3.5E-4</v>
      </c>
      <c r="P161" s="1050">
        <v>2.5999999999999998E-4</v>
      </c>
      <c r="Q161" s="1050">
        <v>2.3000000000000001E-4</v>
      </c>
      <c r="R161" s="1034">
        <f>SUM(S161:AC161)</f>
        <v>2E-3</v>
      </c>
      <c r="S161" s="1034">
        <f>IF(C51&lt;=C160,C161,0)</f>
        <v>2E-3</v>
      </c>
      <c r="T161" s="1034">
        <f>IF(AND(C51&gt;C160,C51&lt;=D160),C161+(C51-C160)*(C161-D161)/(C160-D160),0)</f>
        <v>0</v>
      </c>
      <c r="U161" s="1034">
        <f>IF(AND(C51&gt;D160,C51&lt;=E160),D161+(C51-D160)*(D161-E161)/(D160-E160),0)</f>
        <v>0</v>
      </c>
      <c r="V161" s="1034">
        <f>IF(AND(C51&gt;E160,C51&lt;=F160),E161+(C51-E160)*(E161-F161)/(E160-F160),0)</f>
        <v>0</v>
      </c>
      <c r="W161" s="1034">
        <f>IF(AND(C51&gt;F160,C51&lt;=G160),F161+(C51-F160)*(F161-G161)/(F160-G160),0)</f>
        <v>0</v>
      </c>
      <c r="X161" s="1034">
        <f>IF(AND(C51&gt;G160,C51&lt;=H160),G161+(C51-G160)*(G161-H161)/(G160-H160),0)</f>
        <v>0</v>
      </c>
      <c r="Y161" s="1034">
        <f>IF(AND(C51&gt;H160,C51&lt;=N160),H161+(C51-H160)*(H161-N161)/(H160-N160),0)</f>
        <v>0</v>
      </c>
      <c r="Z161" s="1034">
        <f>IF(AND(C51&gt;N160,C51&lt;=O160),N161+(C51-N160)*(N161-O161)/(N160-O160),0)</f>
        <v>0</v>
      </c>
      <c r="AA161" s="1034">
        <f>IF(AND(C51&gt;O160,C51&lt;=P160),O161+(C51-O160)*(O161-P161)/(O160-P160),0)</f>
        <v>0</v>
      </c>
      <c r="AB161" s="1034">
        <f>IF(AND(C51&gt;P160,C51&lt;=Q160),P161+(C51-P160)*(P161-Q161)/(P160-Q160),0)</f>
        <v>0</v>
      </c>
      <c r="AC161" s="1034">
        <f>IF(C51&gt;=Q160,Q161,0)</f>
        <v>0</v>
      </c>
      <c r="AD161" s="1034"/>
      <c r="AE161" s="1015"/>
      <c r="AF161" s="1008"/>
      <c r="AG161" s="1008"/>
      <c r="AH161" s="1008"/>
    </row>
    <row r="162" spans="1:34" ht="12.75" x14ac:dyDescent="0.2">
      <c r="A162" s="1009"/>
      <c r="B162" s="1012" t="s">
        <v>1130</v>
      </c>
      <c r="C162" s="1050">
        <v>2.31E-3</v>
      </c>
      <c r="D162" s="1050">
        <v>2E-3</v>
      </c>
      <c r="E162" s="1053">
        <v>1.5100000000000001E-3</v>
      </c>
      <c r="F162" s="1050">
        <v>1.1800000000000001E-3</v>
      </c>
      <c r="G162" s="1050">
        <v>8.9999999999999998E-4</v>
      </c>
      <c r="H162" s="1050">
        <v>6.8999999999999997E-4</v>
      </c>
      <c r="I162" s="1050"/>
      <c r="J162" s="1050"/>
      <c r="K162" s="1050"/>
      <c r="L162" s="1050"/>
      <c r="M162" s="1050"/>
      <c r="N162" s="1035">
        <v>5.1000000000000004E-4</v>
      </c>
      <c r="O162" s="1050">
        <v>4.0999999999999999E-4</v>
      </c>
      <c r="P162" s="1050">
        <v>2.9E-4</v>
      </c>
      <c r="Q162" s="1050">
        <v>2.5000000000000001E-4</v>
      </c>
      <c r="R162" s="1034">
        <f>SUM(S162:AC162)</f>
        <v>2.31E-3</v>
      </c>
      <c r="S162" s="1034">
        <f>IF(C51&lt;=C160,C162,0)</f>
        <v>2.31E-3</v>
      </c>
      <c r="T162" s="1034">
        <f>IF(AND(C51&gt;C160,C51&lt;=D160),C162+(C51-C160)*(C162-D162)/(C160-D160),0)</f>
        <v>0</v>
      </c>
      <c r="U162" s="1034">
        <f>IF(AND(C51&gt;D160,C51&lt;=E160),D162+(C51-D160)*(D162-E162)/(D160-E160),0)</f>
        <v>0</v>
      </c>
      <c r="V162" s="1034">
        <f>IF(AND(C51&gt;E160,C51&lt;=F160),E162+(C51-E160)*(E162-F162)/(E160-F160),0)</f>
        <v>0</v>
      </c>
      <c r="W162" s="1034">
        <f>IF(AND(C51&gt;F160,C51&lt;=G160),F162+(C51-F160)*(F162-G162)/(F160-G160),0)</f>
        <v>0</v>
      </c>
      <c r="X162" s="1034">
        <f>IF(AND(C51&gt;G160,C51&lt;=H160),G162+(C51-G160)*(G162-H162)/(G160-H160),0)</f>
        <v>0</v>
      </c>
      <c r="Y162" s="1034">
        <f>IF(AND(C51&gt;H160,C51&lt;=N160),H162+(C51-H160)*(H162-N162)/(H160-N160),0)</f>
        <v>0</v>
      </c>
      <c r="Z162" s="1034">
        <f>IF(AND(C51&gt;N160,C51&lt;=O160),N162+(C51-N160)*(N162-O162)/(N160-O160),0)</f>
        <v>0</v>
      </c>
      <c r="AA162" s="1034">
        <f>IF(AND(C51&gt;O160,C51&lt;=P160),O162+(C51-O160)*(O162-P162)/(O160-P160),0)</f>
        <v>0</v>
      </c>
      <c r="AB162" s="1034">
        <f>IF(AND(C51&gt;P160,C51&lt;=Q160),P162+(C51-P160)*(P162-Q162)/(P160-Q160),0)</f>
        <v>0</v>
      </c>
      <c r="AC162" s="1034">
        <f>IF(C51&gt;=Q160,Q162,0)</f>
        <v>0</v>
      </c>
      <c r="AD162" s="1034"/>
      <c r="AE162" s="1015"/>
      <c r="AF162" s="1008"/>
      <c r="AG162" s="1008"/>
      <c r="AH162" s="1008"/>
    </row>
    <row r="163" spans="1:34" ht="12.75" x14ac:dyDescent="0.2">
      <c r="A163" s="1009"/>
      <c r="B163" s="1012" t="s">
        <v>71</v>
      </c>
      <c r="C163" s="1050">
        <v>1.33E-3</v>
      </c>
      <c r="D163" s="1050">
        <v>1.14E-3</v>
      </c>
      <c r="E163" s="1053">
        <v>8.4999999999999995E-4</v>
      </c>
      <c r="F163" s="1050">
        <v>6.8000000000000005E-4</v>
      </c>
      <c r="G163" s="1050">
        <v>5.1000000000000004E-4</v>
      </c>
      <c r="H163" s="1050">
        <v>3.8999999999999999E-4</v>
      </c>
      <c r="I163" s="1050"/>
      <c r="J163" s="1050"/>
      <c r="K163" s="1050"/>
      <c r="L163" s="1050"/>
      <c r="M163" s="1050"/>
      <c r="N163" s="1035">
        <v>2.9999999999999997E-4</v>
      </c>
      <c r="O163" s="1050">
        <v>2.5000000000000001E-4</v>
      </c>
      <c r="P163" s="1050">
        <v>1.8000000000000001E-4</v>
      </c>
      <c r="Q163" s="1050">
        <v>1.4999999999999999E-4</v>
      </c>
      <c r="R163" s="1034">
        <f>SUM(S163:AC163)</f>
        <v>1.33E-3</v>
      </c>
      <c r="S163" s="1034">
        <f>IF(C51&lt;=C160,C163,0)</f>
        <v>1.33E-3</v>
      </c>
      <c r="T163" s="1034">
        <f>IF(AND(C51&gt;C160,C51&lt;=D160),C163+(C51-C160)*(C163-D163)/(C160-D160),0)</f>
        <v>0</v>
      </c>
      <c r="U163" s="1034">
        <f>IF(AND(C51&gt;D160,C51&lt;=E160),D163+(C51-D160)*(D163-E163)/(D160-E160),0)</f>
        <v>0</v>
      </c>
      <c r="V163" s="1034">
        <f>IF(AND(C51&gt;E160,C51&lt;=F160),E163+(C51-E160)*(E163-F163)/(E160-F160),0)</f>
        <v>0</v>
      </c>
      <c r="W163" s="1034">
        <f>IF(AND(C51&gt;F160,C51&lt;=G160),F163+(C51-F160)*(F163-G163)/(F160-G160),0)</f>
        <v>0</v>
      </c>
      <c r="X163" s="1034">
        <f>IF(AND(C51&gt;G160,C51&lt;=H160),G163+(C51-G160)*(G163-H163)/(G160-H160),0)</f>
        <v>0</v>
      </c>
      <c r="Y163" s="1034">
        <f>IF(AND(C51&gt;H160,C51&lt;=N160),H163+(C51-H160)*(H163-N163)/(H160-N160),0)</f>
        <v>0</v>
      </c>
      <c r="Z163" s="1034">
        <f>IF(AND(C51&gt;N160,C51&lt;=O160),N163+(C51-N160)*(N163-O163)/(N160-O160),0)</f>
        <v>0</v>
      </c>
      <c r="AA163" s="1034">
        <f>IF(AND(C51&gt;O160,C51&lt;=P160),O163+(C51-O160)*(O163-P163)/(O160-P160),0)</f>
        <v>0</v>
      </c>
      <c r="AB163" s="1034">
        <f>IF(AND(C51&gt;P160,C51&lt;=Q160),P163+(C51-P160)*(P163-Q163)/(P160-Q160),0)</f>
        <v>0</v>
      </c>
      <c r="AC163" s="1034">
        <f>IF(C51&gt;=Q160,Q163,0)</f>
        <v>0</v>
      </c>
      <c r="AD163" s="1034"/>
      <c r="AE163" s="1015"/>
      <c r="AF163" s="1008"/>
      <c r="AG163" s="1008"/>
      <c r="AH163" s="1008"/>
    </row>
    <row r="164" spans="1:34" ht="12.75" x14ac:dyDescent="0.2">
      <c r="A164" s="1009"/>
      <c r="B164" s="1012" t="s">
        <v>1501</v>
      </c>
      <c r="C164" s="1050">
        <v>1.4599999999999999E-3</v>
      </c>
      <c r="D164" s="1050">
        <v>1.2600000000000001E-3</v>
      </c>
      <c r="E164" s="1053">
        <v>9.5E-4</v>
      </c>
      <c r="F164" s="1050">
        <v>7.5000000000000002E-4</v>
      </c>
      <c r="G164" s="1050">
        <v>5.8E-4</v>
      </c>
      <c r="H164" s="1050">
        <v>4.4000000000000002E-4</v>
      </c>
      <c r="I164" s="1050"/>
      <c r="J164" s="1050"/>
      <c r="K164" s="1050"/>
      <c r="L164" s="1050"/>
      <c r="M164" s="1050"/>
      <c r="N164" s="1035">
        <v>3.3E-4</v>
      </c>
      <c r="O164" s="1050">
        <v>2.7999999999999998E-4</v>
      </c>
      <c r="P164" s="1050">
        <v>2.0000000000000001E-4</v>
      </c>
      <c r="Q164" s="1050">
        <v>1.7000000000000001E-4</v>
      </c>
      <c r="R164" s="1034">
        <f>SUM(S164:AC164)</f>
        <v>1.4599999999999999E-3</v>
      </c>
      <c r="S164" s="1034">
        <f>IF(C51&lt;=C160,C164,0)</f>
        <v>1.4599999999999999E-3</v>
      </c>
      <c r="T164" s="1034">
        <f>IF(AND(C51&gt;C160,C51&lt;=D160),C164+(C51-C160)*(C164-D164)/(C160-D160),0)</f>
        <v>0</v>
      </c>
      <c r="U164" s="1034">
        <f>IF(AND(C51&gt;D160,C51&lt;=E160),D164+(C51-D160)*(D164-E164)/(D160-E160),0)</f>
        <v>0</v>
      </c>
      <c r="V164" s="1034">
        <f>IF(AND(C51&gt;E160,C51&lt;=F160),E164+(C51-E160)*(E164-F164)/(E160-F160),0)</f>
        <v>0</v>
      </c>
      <c r="W164" s="1034">
        <f>IF(AND(C51&gt;F160,C51&lt;=G160),F164+(C51-F160)*(F164-G164)/(F160-G160),0)</f>
        <v>0</v>
      </c>
      <c r="X164" s="1034">
        <f>IF(AND(C51&gt;G160,C51&lt;=H160),G164+(C51-G160)*(G164-H164)/(G160-H160),0)</f>
        <v>0</v>
      </c>
      <c r="Y164" s="1034">
        <f>IF(AND(C51&gt;H160,C51&lt;=N160),H164+(C51-H160)*(H164-N164)/(H160-N160),0)</f>
        <v>0</v>
      </c>
      <c r="Z164" s="1034">
        <f>IF(AND(C51&gt;N160,C51&lt;=O160),N164+(C51-N160)*(N164-O164)/(N160-O160),0)</f>
        <v>0</v>
      </c>
      <c r="AA164" s="1034">
        <f>IF(AND(C51&gt;O160,C51&lt;=P160),O164+(C51-O160)*(O164-P164)/(O160-P160),0)</f>
        <v>0</v>
      </c>
      <c r="AB164" s="1034">
        <f>IF(AND(C51&gt;P160,C51&lt;=Q160),P164+(C51-P160)*(P164-Q164)/(P160-Q160),0)</f>
        <v>0</v>
      </c>
      <c r="AC164" s="1034">
        <f>IF(C51&gt;=Q160,Q164,0)</f>
        <v>0</v>
      </c>
      <c r="AD164" s="1034"/>
      <c r="AE164" s="1015"/>
      <c r="AF164" s="1008"/>
      <c r="AG164" s="1008"/>
      <c r="AH164" s="1008"/>
    </row>
    <row r="165" spans="1:34" ht="12.75" x14ac:dyDescent="0.2">
      <c r="A165" s="1009"/>
      <c r="B165" s="1012" t="s">
        <v>500</v>
      </c>
      <c r="C165" s="1050">
        <v>1.5299999999999999E-3</v>
      </c>
      <c r="D165" s="1050">
        <v>1.33E-3</v>
      </c>
      <c r="E165" s="1053">
        <v>1.0300000000000001E-3</v>
      </c>
      <c r="F165" s="1050">
        <v>7.7999999999999999E-4</v>
      </c>
      <c r="G165" s="1050">
        <v>5.9000000000000003E-4</v>
      </c>
      <c r="H165" s="1050">
        <v>4.6000000000000001E-4</v>
      </c>
      <c r="I165" s="1050"/>
      <c r="J165" s="1050"/>
      <c r="K165" s="1050"/>
      <c r="L165" s="1050"/>
      <c r="M165" s="1050"/>
      <c r="N165" s="1035">
        <v>3.6000000000000002E-4</v>
      </c>
      <c r="O165" s="1050">
        <v>2.9999999999999997E-4</v>
      </c>
      <c r="P165" s="1050">
        <v>2.1000000000000001E-4</v>
      </c>
      <c r="Q165" s="1050">
        <v>1.8000000000000001E-4</v>
      </c>
      <c r="R165" s="1034">
        <f>SUM(S165:AC165)</f>
        <v>1.5299999999999999E-3</v>
      </c>
      <c r="S165" s="1034">
        <f>IF(C51&lt;=C160,C165,0)</f>
        <v>1.5299999999999999E-3</v>
      </c>
      <c r="T165" s="1034">
        <f>IF(AND(C51&gt;C160,C51&lt;=D160),C165+(C51-C160)*(C165-D165)/(C160-D160),0)</f>
        <v>0</v>
      </c>
      <c r="U165" s="1034">
        <f>IF(AND(C51&gt;D160,C51&lt;=E160),D165+(C51-D160)*(D165-E165)/(D160-E160),0)</f>
        <v>0</v>
      </c>
      <c r="V165" s="1034">
        <f>IF(AND(C51&gt;E160,C51&lt;=F160),E165+(C51-E160)*(E165-F165)/(E160-F160),0)</f>
        <v>0</v>
      </c>
      <c r="W165" s="1034">
        <f>IF(AND(C51&gt;F160,C51&lt;=G160),F165+(C51-F160)*(F165-G165)/(F160-G160),0)</f>
        <v>0</v>
      </c>
      <c r="X165" s="1034">
        <f>IF(AND(C51&gt;G160,C51&lt;=H160),G165+(C51-G160)*(G165-H165)/(G160-H160),0)</f>
        <v>0</v>
      </c>
      <c r="Y165" s="1034">
        <f>IF(AND(C51&gt;H160,C51&lt;=N160),H165+(C51-H160)*(H165-N165)/(H160-N160),0)</f>
        <v>0</v>
      </c>
      <c r="Z165" s="1034">
        <f>IF(AND(C51&gt;N160,C51&lt;=O160),N165+(C51-N160)*(N165-O165)/(N160-O160),0)</f>
        <v>0</v>
      </c>
      <c r="AA165" s="1034">
        <f>IF(AND(C51&gt;O160,C51&lt;=P160),O165+(C51-O160)*(O165-P165)/(O160-P160),0)</f>
        <v>0</v>
      </c>
      <c r="AB165" s="1034">
        <f>IF(AND(C51&gt;P160,C51&lt;=Q160),P165+(C51-P160)*(P165-Q165)/(P160-Q160),0)</f>
        <v>0</v>
      </c>
      <c r="AC165" s="1034">
        <f>IF(C51&gt;=Q160,Q165,0)</f>
        <v>0</v>
      </c>
      <c r="AD165" s="1034"/>
      <c r="AE165" s="1015"/>
      <c r="AF165" s="1008"/>
      <c r="AG165" s="1008"/>
      <c r="AH165" s="1008"/>
    </row>
    <row r="166" spans="1:34" ht="12.75" x14ac:dyDescent="0.2">
      <c r="A166" s="1009"/>
      <c r="B166" s="1011"/>
      <c r="C166" s="1018"/>
      <c r="D166" s="1018"/>
      <c r="E166" s="1019"/>
      <c r="F166" s="1011"/>
      <c r="G166" s="1018"/>
      <c r="H166" s="1018"/>
      <c r="I166" s="1018"/>
      <c r="J166" s="1018"/>
      <c r="K166" s="1018"/>
      <c r="L166" s="1018"/>
      <c r="M166" s="1018"/>
      <c r="N166" s="1033"/>
      <c r="O166" s="1011"/>
      <c r="P166" s="1011"/>
      <c r="Q166" s="1011"/>
      <c r="R166" s="1011"/>
      <c r="S166" s="1034"/>
      <c r="T166" s="1034"/>
      <c r="U166" s="1034"/>
      <c r="V166" s="1034"/>
      <c r="W166" s="1034"/>
      <c r="X166" s="1034"/>
      <c r="Y166" s="1034"/>
      <c r="Z166" s="1034"/>
      <c r="AA166" s="1034"/>
      <c r="AB166" s="1034"/>
      <c r="AC166" s="1034"/>
      <c r="AD166" s="1034"/>
      <c r="AE166" s="1015"/>
      <c r="AF166" s="1008"/>
      <c r="AG166" s="1008"/>
      <c r="AH166" s="1008"/>
    </row>
    <row r="167" spans="1:34" ht="12.75" x14ac:dyDescent="0.2">
      <c r="A167" s="1036">
        <v>8</v>
      </c>
      <c r="B167" s="1182" t="s">
        <v>1559</v>
      </c>
      <c r="C167" s="1182"/>
      <c r="D167" s="1182"/>
      <c r="E167" s="1182"/>
      <c r="F167" s="1182"/>
      <c r="G167" s="1182"/>
      <c r="H167" s="1182"/>
      <c r="I167" s="1182"/>
      <c r="J167" s="1182"/>
      <c r="K167" s="1182"/>
      <c r="L167" s="1182"/>
      <c r="M167" s="1182"/>
      <c r="N167" s="1182"/>
      <c r="O167" s="1182"/>
      <c r="P167" s="1182"/>
      <c r="Q167" s="1182"/>
      <c r="R167" s="1182"/>
      <c r="S167" s="1034"/>
      <c r="T167" s="1034"/>
      <c r="U167" s="1034"/>
      <c r="V167" s="1034"/>
      <c r="W167" s="1034"/>
      <c r="X167" s="1034"/>
      <c r="Y167" s="1034"/>
      <c r="Z167" s="1034"/>
      <c r="AA167" s="1034"/>
      <c r="AB167" s="1034"/>
      <c r="AC167" s="1034"/>
      <c r="AD167" s="1034"/>
      <c r="AE167" s="1015"/>
      <c r="AF167" s="1008"/>
      <c r="AG167" s="1008"/>
      <c r="AH167" s="1008"/>
    </row>
    <row r="168" spans="1:34" ht="12.75" x14ac:dyDescent="0.2">
      <c r="A168" s="1009"/>
      <c r="B168" s="1169" t="s">
        <v>589</v>
      </c>
      <c r="C168" s="1020" t="s">
        <v>1171</v>
      </c>
      <c r="D168" s="1020"/>
      <c r="E168" s="1021"/>
      <c r="F168" s="1016"/>
      <c r="G168" s="1020"/>
      <c r="H168" s="1020"/>
      <c r="I168" s="1020"/>
      <c r="J168" s="1020"/>
      <c r="K168" s="1020"/>
      <c r="L168" s="1020"/>
      <c r="M168" s="1020"/>
      <c r="N168" s="1022"/>
      <c r="O168" s="1016"/>
      <c r="P168" s="1016"/>
      <c r="Q168" s="1016"/>
      <c r="R168" s="1016" t="s">
        <v>1500</v>
      </c>
      <c r="S168" s="1034"/>
      <c r="T168" s="1034"/>
      <c r="U168" s="1034"/>
      <c r="V168" s="1034"/>
      <c r="W168" s="1034"/>
      <c r="X168" s="1034"/>
      <c r="Y168" s="1034"/>
      <c r="Z168" s="1034"/>
      <c r="AA168" s="1034"/>
      <c r="AB168" s="1034"/>
      <c r="AC168" s="1034"/>
      <c r="AD168" s="1034"/>
      <c r="AE168" s="1015"/>
      <c r="AF168" s="1008"/>
      <c r="AG168" s="1008"/>
      <c r="AH168" s="1008"/>
    </row>
    <row r="169" spans="1:34" ht="12.75" x14ac:dyDescent="0.2">
      <c r="A169" s="1024"/>
      <c r="B169" s="1169"/>
      <c r="C169" s="1051">
        <v>10</v>
      </c>
      <c r="D169" s="1030">
        <v>20</v>
      </c>
      <c r="E169" s="1052">
        <v>50</v>
      </c>
      <c r="F169" s="1030">
        <v>100</v>
      </c>
      <c r="G169" s="1030">
        <v>200</v>
      </c>
      <c r="H169" s="1030">
        <v>500</v>
      </c>
      <c r="I169" s="1030"/>
      <c r="J169" s="1030"/>
      <c r="K169" s="1030"/>
      <c r="L169" s="1030"/>
      <c r="M169" s="1030"/>
      <c r="N169" s="1040">
        <v>1000</v>
      </c>
      <c r="O169" s="1030">
        <v>2000</v>
      </c>
      <c r="P169" s="1030">
        <v>5000</v>
      </c>
      <c r="Q169" s="1030">
        <v>8000</v>
      </c>
      <c r="R169" s="1029"/>
      <c r="S169" s="1034"/>
      <c r="T169" s="1034"/>
      <c r="U169" s="1034"/>
      <c r="V169" s="1034"/>
      <c r="W169" s="1034"/>
      <c r="X169" s="1034"/>
      <c r="Y169" s="1034"/>
      <c r="Z169" s="1034"/>
      <c r="AA169" s="1034"/>
      <c r="AB169" s="1034"/>
      <c r="AC169" s="1034"/>
      <c r="AD169" s="1034"/>
      <c r="AE169" s="1015"/>
      <c r="AF169" s="1008"/>
      <c r="AG169" s="1008"/>
      <c r="AH169" s="1008"/>
    </row>
    <row r="170" spans="1:34" ht="12.75" x14ac:dyDescent="0.2">
      <c r="A170" s="1009"/>
      <c r="B170" s="1012" t="s">
        <v>32</v>
      </c>
      <c r="C170" s="1050">
        <v>3.3700000000000002E-3</v>
      </c>
      <c r="D170" s="1050">
        <v>2.7000000000000001E-3</v>
      </c>
      <c r="E170" s="1053">
        <v>1.5200000000000001E-3</v>
      </c>
      <c r="F170" s="1050">
        <v>9.8999999999999999E-4</v>
      </c>
      <c r="G170" s="1050">
        <v>5.9000000000000003E-4</v>
      </c>
      <c r="H170" s="1050">
        <v>4.2999999999999999E-4</v>
      </c>
      <c r="I170" s="1050"/>
      <c r="J170" s="1050"/>
      <c r="K170" s="1050"/>
      <c r="L170" s="1050"/>
      <c r="M170" s="1050"/>
      <c r="N170" s="1035">
        <v>2.9999999999999997E-4</v>
      </c>
      <c r="O170" s="1050">
        <v>2.5999999999999998E-4</v>
      </c>
      <c r="P170" s="1050">
        <v>2.2000000000000001E-4</v>
      </c>
      <c r="Q170" s="1050">
        <v>1.9000000000000001E-4</v>
      </c>
      <c r="R170" s="1034">
        <f>SUM(S170:AC170)</f>
        <v>3.3700000000000002E-3</v>
      </c>
      <c r="S170" s="1034">
        <f>IF(C51&lt;=C169,C170,0)</f>
        <v>3.3700000000000002E-3</v>
      </c>
      <c r="T170" s="1034">
        <f>IF(AND(C51&gt;C169,C51&lt;=D169),C170+(C51-C169)*(C170-D170)/(C169-D169),0)</f>
        <v>0</v>
      </c>
      <c r="U170" s="1034">
        <f>IF(AND(C51&gt;D169,C51&lt;=E169),D170+(C51-D169)*(D170-E170)/(D169-E169),0)</f>
        <v>0</v>
      </c>
      <c r="V170" s="1034">
        <f>IF(AND(C51&gt;E169,C51&lt;=F169),E170+(C51-E169)*(E170-F170)/(E169-F169),0)</f>
        <v>0</v>
      </c>
      <c r="W170" s="1034">
        <f>IF(AND(C51&gt;F169,C51&lt;=G169),F170+(C51-F169)*(F170-G170)/(F169-G169),0)</f>
        <v>0</v>
      </c>
      <c r="X170" s="1034">
        <f>IF(AND(C51&gt;G169,C51&lt;=H169),G170+(C51-G169)*(G170-H170)/(G169-H169),0)</f>
        <v>0</v>
      </c>
      <c r="Y170" s="1034">
        <f>IF(AND(C51&gt;H169,C51&lt;=N169),H170+(C51-H169)*(H170-N170)/(H169-N169),0)</f>
        <v>0</v>
      </c>
      <c r="Z170" s="1034">
        <f>IF(AND(C51&gt;N169,C51&lt;=O169),N170+(C51-N169)*(N170-O170)/(N169-O169),0)</f>
        <v>0</v>
      </c>
      <c r="AA170" s="1034">
        <f>IF(AND(C51&gt;O169,C51&lt;=P169),O170+(C51-O169)*(O170-P170)/(O169-P169),0)</f>
        <v>0</v>
      </c>
      <c r="AB170" s="1034">
        <f>IF(AND(C51&gt;P169,C51&lt;=Q169),P170+(C51-P169)*(P170-Q170)/(P169-Q169),0)</f>
        <v>0</v>
      </c>
      <c r="AC170" s="1034">
        <f>IF(C51&gt;=Q169,Q170,0)</f>
        <v>0</v>
      </c>
      <c r="AD170" s="1034"/>
      <c r="AE170" s="1015"/>
      <c r="AF170" s="1008"/>
      <c r="AG170" s="1008"/>
      <c r="AH170" s="1008"/>
    </row>
    <row r="171" spans="1:34" ht="12.75" x14ac:dyDescent="0.2">
      <c r="A171" s="1009"/>
      <c r="B171" s="1012" t="s">
        <v>1130</v>
      </c>
      <c r="C171" s="1050">
        <v>4.3899999999999998E-3</v>
      </c>
      <c r="D171" s="1050">
        <v>3.0300000000000001E-3</v>
      </c>
      <c r="E171" s="1053">
        <v>1.6900000000000001E-3</v>
      </c>
      <c r="F171" s="1050">
        <v>1.15E-3</v>
      </c>
      <c r="G171" s="1050">
        <v>7.3999999999999999E-4</v>
      </c>
      <c r="H171" s="1050">
        <v>5.2999999999999998E-4</v>
      </c>
      <c r="I171" s="1050"/>
      <c r="J171" s="1050"/>
      <c r="K171" s="1050"/>
      <c r="L171" s="1050"/>
      <c r="M171" s="1050"/>
      <c r="N171" s="1035">
        <v>4.0000000000000002E-4</v>
      </c>
      <c r="O171" s="1050">
        <v>3.4000000000000002E-4</v>
      </c>
      <c r="P171" s="1050">
        <v>2.7E-4</v>
      </c>
      <c r="Q171" s="1050">
        <v>2.3000000000000001E-4</v>
      </c>
      <c r="R171" s="1034">
        <f>SUM(S171:AC171)</f>
        <v>4.3899999999999998E-3</v>
      </c>
      <c r="S171" s="1034">
        <f>IF(C51&lt;=C169,C171,0)</f>
        <v>4.3899999999999998E-3</v>
      </c>
      <c r="T171" s="1034">
        <f>IF(AND(C51&gt;C169,C51&lt;=D169),C171+(C51-C169)*(C171-D171)/(C169-D169),0)</f>
        <v>0</v>
      </c>
      <c r="U171" s="1034">
        <f>IF(AND(C51&gt;D169,C51&lt;=E169),D171+(C51-D169)*(D171-E171)/(D169-E169),0)</f>
        <v>0</v>
      </c>
      <c r="V171" s="1034">
        <f>IF(AND(C51&gt;E169,C51&lt;=F169),E171+(C51-E169)*(E171-F171)/(E169-F169),0)</f>
        <v>0</v>
      </c>
      <c r="W171" s="1034">
        <f>IF(AND(C51&gt;F169,C51&lt;=G169),F171+(C51-F169)*(F171-G171)/(F169-G169),0)</f>
        <v>0</v>
      </c>
      <c r="X171" s="1034">
        <f>IF(AND(C51&gt;G169,C51&lt;=H169),G171+(C51-G169)*(G171-H171)/(G169-H169),0)</f>
        <v>0</v>
      </c>
      <c r="Y171" s="1034">
        <f>IF(AND(C51&gt;H169,C51&lt;=N169),H171+(C51-H169)*(H171-N171)/(H169-N169),0)</f>
        <v>0</v>
      </c>
      <c r="Z171" s="1034">
        <f>IF(AND(C51&gt;N169,C51&lt;=O169),N171+(C51-N169)*(N171-O171)/(N169-O169),0)</f>
        <v>0</v>
      </c>
      <c r="AA171" s="1034">
        <f>IF(AND(C51&gt;O169,C51&lt;=P169),O171+(C51-O169)*(O171-P171)/(O169-P169),0)</f>
        <v>0</v>
      </c>
      <c r="AB171" s="1034">
        <f>IF(AND(C51&gt;P169,C51&lt;=Q169),P171+(C51-P169)*(P171-Q171)/(P169-Q169),0)</f>
        <v>0</v>
      </c>
      <c r="AC171" s="1034">
        <f>IF(C51&gt;=Q169,Q171,0)</f>
        <v>0</v>
      </c>
      <c r="AD171" s="1034"/>
      <c r="AE171" s="1015"/>
      <c r="AF171" s="1008"/>
      <c r="AG171" s="1008"/>
      <c r="AH171" s="1008"/>
    </row>
    <row r="172" spans="1:34" ht="12.75" x14ac:dyDescent="0.2">
      <c r="A172" s="1009"/>
      <c r="B172" s="1012" t="s">
        <v>71</v>
      </c>
      <c r="C172" s="1050">
        <v>2.7000000000000001E-3</v>
      </c>
      <c r="D172" s="1050">
        <v>1.8500000000000001E-3</v>
      </c>
      <c r="E172" s="1053">
        <v>1.1800000000000001E-3</v>
      </c>
      <c r="F172" s="1050">
        <v>6.9999999999999999E-4</v>
      </c>
      <c r="G172" s="1050">
        <v>4.4999999999999999E-4</v>
      </c>
      <c r="H172" s="1050">
        <v>3.5E-4</v>
      </c>
      <c r="I172" s="1050"/>
      <c r="J172" s="1050"/>
      <c r="K172" s="1050"/>
      <c r="L172" s="1050"/>
      <c r="M172" s="1050"/>
      <c r="N172" s="1035">
        <v>2.2000000000000001E-4</v>
      </c>
      <c r="O172" s="1050">
        <v>1.9000000000000001E-4</v>
      </c>
      <c r="P172" s="1050">
        <v>1.6000000000000001E-4</v>
      </c>
      <c r="Q172" s="1050">
        <v>1.3999999999999999E-4</v>
      </c>
      <c r="R172" s="1034">
        <f>SUM(S172:AC172)</f>
        <v>2.7000000000000001E-3</v>
      </c>
      <c r="S172" s="1034">
        <f>IF(C51&lt;=C169,C172,0)</f>
        <v>2.7000000000000001E-3</v>
      </c>
      <c r="T172" s="1034">
        <f>IF(AND(C51&gt;C169,C51&lt;=D169),C172+(C51-C169)*(C172-D172)/(C169-D169),0)</f>
        <v>0</v>
      </c>
      <c r="U172" s="1034">
        <f>IF(AND(C51&gt;D169,C51&lt;=E169),D172+(C51-D169)*(D172-E172)/(D169-E169),0)</f>
        <v>0</v>
      </c>
      <c r="V172" s="1034">
        <f>IF(AND(C51&gt;E169,C51&lt;=F169),E172+(C51-E169)*(E172-F172)/(E169-F169),0)</f>
        <v>0</v>
      </c>
      <c r="W172" s="1034">
        <f>IF(AND(C51&gt;F169,C51&lt;=G169),F172+(C51-F169)*(F172-G172)/(F169-G169),0)</f>
        <v>0</v>
      </c>
      <c r="X172" s="1034">
        <f>IF(AND(C51&gt;G169,C51&lt;=H169),G172+(C51-G169)*(G172-H172)/(G169-H169),0)</f>
        <v>0</v>
      </c>
      <c r="Y172" s="1034">
        <f>IF(AND(C51&gt;H169,C51&lt;=N169),H172+(C51-H169)*(H172-N172)/(H169-N169),0)</f>
        <v>0</v>
      </c>
      <c r="Z172" s="1034">
        <f>IF(AND(C51&gt;N169,C51&lt;=O169),N172+(C51-N169)*(N172-O172)/(N169-O169),0)</f>
        <v>0</v>
      </c>
      <c r="AA172" s="1034">
        <f>IF(AND(C51&gt;O169,C51&lt;=P169),O172+(C51-O169)*(O172-P172)/(O169-P169),0)</f>
        <v>0</v>
      </c>
      <c r="AB172" s="1034">
        <f>IF(AND(C51&gt;P169,C51&lt;=Q169),P172+(C51-P169)*(P172-Q172)/(P169-Q169),0)</f>
        <v>0</v>
      </c>
      <c r="AC172" s="1034">
        <f>IF(C51&gt;=Q169,Q172,0)</f>
        <v>0</v>
      </c>
      <c r="AD172" s="1034"/>
      <c r="AE172" s="1015"/>
      <c r="AF172" s="1008"/>
      <c r="AG172" s="1008"/>
      <c r="AH172" s="1008"/>
    </row>
    <row r="173" spans="1:34" ht="12.75" x14ac:dyDescent="0.2">
      <c r="A173" s="1009"/>
      <c r="B173" s="1012" t="s">
        <v>1501</v>
      </c>
      <c r="C173" s="1050">
        <v>2.82E-3</v>
      </c>
      <c r="D173" s="1050">
        <v>2.3600000000000001E-3</v>
      </c>
      <c r="E173" s="1053">
        <v>1.2999999999999999E-3</v>
      </c>
      <c r="F173" s="1050">
        <v>7.3999999999999999E-4</v>
      </c>
      <c r="G173" s="1050">
        <v>4.6999999999999999E-4</v>
      </c>
      <c r="H173" s="1050">
        <v>3.6999999999999999E-4</v>
      </c>
      <c r="I173" s="1050"/>
      <c r="J173" s="1050"/>
      <c r="K173" s="1050"/>
      <c r="L173" s="1050"/>
      <c r="M173" s="1050"/>
      <c r="N173" s="1035">
        <v>2.4000000000000001E-4</v>
      </c>
      <c r="O173" s="1050">
        <v>2.1000000000000001E-4</v>
      </c>
      <c r="P173" s="1050">
        <v>1.8000000000000001E-4</v>
      </c>
      <c r="Q173" s="1050">
        <v>1.6000000000000001E-4</v>
      </c>
      <c r="R173" s="1034">
        <f>SUM(S173:AC173)</f>
        <v>2.82E-3</v>
      </c>
      <c r="S173" s="1034">
        <f>IF(C51&lt;=C169,C173,0)</f>
        <v>2.82E-3</v>
      </c>
      <c r="T173" s="1034">
        <f>IF(AND(C51&gt;C169,C51&lt;=D169),C173+(C51-C169)*(C173-D173)/(C169-D169),0)</f>
        <v>0</v>
      </c>
      <c r="U173" s="1034">
        <f>IF(AND(C51&gt;D169,C51&lt;=E169),D173+(C51-D169)*(D173-E173)/(D169-E169),0)</f>
        <v>0</v>
      </c>
      <c r="V173" s="1034">
        <f>IF(AND(C51&gt;E169,C51&lt;=F169),E173+(C51-E169)*(E173-F173)/(E169-F169),0)</f>
        <v>0</v>
      </c>
      <c r="W173" s="1034">
        <f>IF(AND(C51&gt;F169,C51&lt;=G169),F173+(C51-F169)*(F173-G173)/(F169-G169),0)</f>
        <v>0</v>
      </c>
      <c r="X173" s="1034">
        <f>IF(AND(C51&gt;G169,C51&lt;=H169),G173+(C51-G169)*(G173-H173)/(G169-H169),0)</f>
        <v>0</v>
      </c>
      <c r="Y173" s="1034">
        <f>IF(AND(C51&gt;H169,C51&lt;=N169),H173+(C51-H169)*(H173-N173)/(H169-N169),0)</f>
        <v>0</v>
      </c>
      <c r="Z173" s="1034">
        <f>IF(AND(C51&gt;N169,C51&lt;=O169),N173+(C51-N169)*(N173-O173)/(N169-O169),0)</f>
        <v>0</v>
      </c>
      <c r="AA173" s="1034">
        <f>IF(AND(C51&gt;O169,C51&lt;=P169),O173+(C51-O169)*(O173-P173)/(O169-P169),0)</f>
        <v>0</v>
      </c>
      <c r="AB173" s="1034">
        <f>IF(AND(C51&gt;P169,C51&lt;=Q169),P173+(C51-P169)*(P173-Q173)/(P169-Q169),0)</f>
        <v>0</v>
      </c>
      <c r="AC173" s="1034">
        <f>IF(C51&gt;=Q169,Q173,0)</f>
        <v>0</v>
      </c>
      <c r="AD173" s="1034"/>
      <c r="AE173" s="1015"/>
      <c r="AF173" s="1008"/>
      <c r="AG173" s="1008"/>
      <c r="AH173" s="1008"/>
    </row>
    <row r="174" spans="1:34" ht="12.75" x14ac:dyDescent="0.2">
      <c r="A174" s="1009"/>
      <c r="B174" s="1012" t="s">
        <v>500</v>
      </c>
      <c r="C174" s="1050">
        <v>3.0300000000000001E-3</v>
      </c>
      <c r="D174" s="1050">
        <v>2.5400000000000002E-3</v>
      </c>
      <c r="E174" s="1053">
        <v>1.3500000000000001E-3</v>
      </c>
      <c r="F174" s="1050">
        <v>8.3000000000000001E-4</v>
      </c>
      <c r="G174" s="1050">
        <v>4.8999999999999998E-4</v>
      </c>
      <c r="H174" s="1050">
        <v>4.0000000000000002E-4</v>
      </c>
      <c r="I174" s="1050"/>
      <c r="J174" s="1050"/>
      <c r="K174" s="1050"/>
      <c r="L174" s="1050"/>
      <c r="M174" s="1050"/>
      <c r="N174" s="1035">
        <v>2.5999999999999998E-4</v>
      </c>
      <c r="O174" s="1050">
        <v>2.2000000000000001E-4</v>
      </c>
      <c r="P174" s="1050">
        <v>1.9000000000000001E-4</v>
      </c>
      <c r="Q174" s="1050">
        <v>1.7000000000000001E-4</v>
      </c>
      <c r="R174" s="1034">
        <f>SUM(S174:AC174)</f>
        <v>3.0300000000000001E-3</v>
      </c>
      <c r="S174" s="1034">
        <f>IF(C51&lt;=C169,C174,0)</f>
        <v>3.0300000000000001E-3</v>
      </c>
      <c r="T174" s="1034">
        <f>IF(AND(C51&gt;C169,C51&lt;=D169),C174+(C51-C169)*(C174-D174)/(C169-D169),0)</f>
        <v>0</v>
      </c>
      <c r="U174" s="1034">
        <f>IF(AND(C51&gt;D169,C51&lt;=E169),D174+(C51-D169)*(D174-E174)/(D169-E169),0)</f>
        <v>0</v>
      </c>
      <c r="V174" s="1034">
        <f>IF(AND(C51&gt;E169,C51&lt;=F169),E174+(C51-E169)*(E174-F174)/(E169-F169),0)</f>
        <v>0</v>
      </c>
      <c r="W174" s="1034">
        <f>IF(AND(C51&gt;F169,C51&lt;=G169),F174+(C51-F169)*(F174-G174)/(F169-G169),0)</f>
        <v>0</v>
      </c>
      <c r="X174" s="1034">
        <f>IF(AND(C51&gt;G169,C51&lt;=H169),G174+(C51-G169)*(G174-H174)/(G169-H169),0)</f>
        <v>0</v>
      </c>
      <c r="Y174" s="1034">
        <f>IF(AND(C51&gt;H169,C51&lt;=N169),H174+(C51-H169)*(H174-N174)/(H169-N169),0)</f>
        <v>0</v>
      </c>
      <c r="Z174" s="1034">
        <f>IF(AND(C51&gt;N169,C51&lt;=O169),N174+(C51-N169)*(N174-O174)/(N169-O169),0)</f>
        <v>0</v>
      </c>
      <c r="AA174" s="1034">
        <f>IF(AND(C51&gt;O169,C51&lt;=P169),O174+(C51-O169)*(O174-P174)/(O169-P169),0)</f>
        <v>0</v>
      </c>
      <c r="AB174" s="1034">
        <f>IF(AND(C51&gt;P169,C51&lt;=Q169),P174+(C51-P169)*(P174-Q174)/(P169-Q169),0)</f>
        <v>0</v>
      </c>
      <c r="AC174" s="1034">
        <f>IF(C51&gt;=Q169,Q174,0)</f>
        <v>0</v>
      </c>
      <c r="AD174" s="1034"/>
      <c r="AE174" s="1015"/>
      <c r="AF174" s="1008"/>
      <c r="AG174" s="1008"/>
      <c r="AH174" s="1008"/>
    </row>
    <row r="175" spans="1:34" ht="12.75" x14ac:dyDescent="0.2">
      <c r="A175" s="1009"/>
      <c r="B175" s="1011"/>
      <c r="C175" s="1018"/>
      <c r="D175" s="1018"/>
      <c r="E175" s="1019"/>
      <c r="F175" s="1011"/>
      <c r="G175" s="1018"/>
      <c r="H175" s="1018"/>
      <c r="I175" s="1018"/>
      <c r="J175" s="1018"/>
      <c r="K175" s="1018"/>
      <c r="L175" s="1018"/>
      <c r="M175" s="1018"/>
      <c r="N175" s="1033"/>
      <c r="O175" s="1011"/>
      <c r="P175" s="1011"/>
      <c r="Q175" s="1011"/>
      <c r="R175" s="1011"/>
      <c r="S175" s="1034"/>
      <c r="T175" s="1034"/>
      <c r="U175" s="1034"/>
      <c r="V175" s="1034"/>
      <c r="W175" s="1034"/>
      <c r="X175" s="1034"/>
      <c r="Y175" s="1034"/>
      <c r="Z175" s="1034"/>
      <c r="AA175" s="1034"/>
      <c r="AB175" s="1034"/>
      <c r="AC175" s="1034"/>
      <c r="AD175" s="1034"/>
      <c r="AE175" s="1015"/>
      <c r="AF175" s="1008"/>
      <c r="AG175" s="1008"/>
      <c r="AH175" s="1008"/>
    </row>
    <row r="176" spans="1:34" ht="12.75" x14ac:dyDescent="0.2">
      <c r="A176" s="1036">
        <v>9</v>
      </c>
      <c r="B176" s="1182" t="s">
        <v>1560</v>
      </c>
      <c r="C176" s="1182"/>
      <c r="D176" s="1182"/>
      <c r="E176" s="1182"/>
      <c r="F176" s="1182"/>
      <c r="G176" s="1182"/>
      <c r="H176" s="1182"/>
      <c r="I176" s="1182"/>
      <c r="J176" s="1182"/>
      <c r="K176" s="1182"/>
      <c r="L176" s="1182"/>
      <c r="M176" s="1182"/>
      <c r="N176" s="1182"/>
      <c r="O176" s="1182"/>
      <c r="P176" s="1182"/>
      <c r="Q176" s="1182"/>
      <c r="R176" s="1182"/>
      <c r="S176" s="1034"/>
      <c r="T176" s="1034"/>
      <c r="U176" s="1034"/>
      <c r="V176" s="1034"/>
      <c r="W176" s="1034"/>
      <c r="X176" s="1034"/>
      <c r="Y176" s="1034"/>
      <c r="Z176" s="1034"/>
      <c r="AA176" s="1034"/>
      <c r="AB176" s="1034"/>
      <c r="AC176" s="1034"/>
      <c r="AD176" s="1034"/>
      <c r="AE176" s="1015"/>
      <c r="AF176" s="1008"/>
      <c r="AG176" s="1008"/>
      <c r="AH176" s="1008"/>
    </row>
    <row r="177" spans="1:34" ht="12.75" x14ac:dyDescent="0.2">
      <c r="A177" s="1009"/>
      <c r="B177" s="1169" t="s">
        <v>589</v>
      </c>
      <c r="C177" s="1020" t="s">
        <v>720</v>
      </c>
      <c r="D177" s="1020"/>
      <c r="E177" s="1021"/>
      <c r="F177" s="1016"/>
      <c r="G177" s="1020"/>
      <c r="H177" s="1020"/>
      <c r="I177" s="1020"/>
      <c r="J177" s="1020"/>
      <c r="K177" s="1020"/>
      <c r="L177" s="1020"/>
      <c r="M177" s="1020"/>
      <c r="N177" s="1022"/>
      <c r="O177" s="1016"/>
      <c r="P177" s="1016"/>
      <c r="Q177" s="1016"/>
      <c r="R177" s="1016" t="s">
        <v>1500</v>
      </c>
      <c r="S177" s="1034"/>
      <c r="T177" s="1034"/>
      <c r="U177" s="1034"/>
      <c r="V177" s="1034"/>
      <c r="W177" s="1034"/>
      <c r="X177" s="1034"/>
      <c r="Y177" s="1034"/>
      <c r="Z177" s="1034"/>
      <c r="AA177" s="1034"/>
      <c r="AB177" s="1034"/>
      <c r="AC177" s="1034"/>
      <c r="AD177" s="1034"/>
      <c r="AE177" s="1015"/>
      <c r="AF177" s="1008"/>
      <c r="AG177" s="1008"/>
      <c r="AH177" s="1008"/>
    </row>
    <row r="178" spans="1:34" ht="12.75" x14ac:dyDescent="0.2">
      <c r="A178" s="1024"/>
      <c r="B178" s="1169"/>
      <c r="C178" s="1051">
        <v>10</v>
      </c>
      <c r="D178" s="1030">
        <v>20</v>
      </c>
      <c r="E178" s="1052">
        <v>50</v>
      </c>
      <c r="F178" s="1030">
        <v>100</v>
      </c>
      <c r="G178" s="1030">
        <v>200</v>
      </c>
      <c r="H178" s="1030">
        <v>500</v>
      </c>
      <c r="I178" s="1030"/>
      <c r="J178" s="1030"/>
      <c r="K178" s="1030"/>
      <c r="L178" s="1030"/>
      <c r="M178" s="1030"/>
      <c r="N178" s="1040">
        <v>1000</v>
      </c>
      <c r="O178" s="1030">
        <v>2000</v>
      </c>
      <c r="P178" s="1030">
        <v>5000</v>
      </c>
      <c r="Q178" s="1030">
        <v>8000</v>
      </c>
      <c r="R178" s="1029"/>
      <c r="S178" s="1034"/>
      <c r="T178" s="1034"/>
      <c r="U178" s="1034"/>
      <c r="V178" s="1034"/>
      <c r="W178" s="1034"/>
      <c r="X178" s="1034"/>
      <c r="Y178" s="1034"/>
      <c r="Z178" s="1034"/>
      <c r="AA178" s="1034"/>
      <c r="AB178" s="1034"/>
      <c r="AC178" s="1034"/>
      <c r="AD178" s="1034"/>
      <c r="AE178" s="1015"/>
      <c r="AF178" s="1008"/>
      <c r="AG178" s="1008"/>
      <c r="AH178" s="1008"/>
    </row>
    <row r="179" spans="1:34" ht="12.75" x14ac:dyDescent="0.2">
      <c r="A179" s="1009"/>
      <c r="B179" s="1012" t="s">
        <v>32</v>
      </c>
      <c r="C179" s="1050">
        <v>2.8700000000000002E-3</v>
      </c>
      <c r="D179" s="1050">
        <v>2.7000000000000001E-3</v>
      </c>
      <c r="E179" s="1053">
        <v>1.42E-3</v>
      </c>
      <c r="F179" s="1050">
        <v>8.8999999999999995E-4</v>
      </c>
      <c r="G179" s="1050">
        <v>7.9000000000000001E-4</v>
      </c>
      <c r="H179" s="1050">
        <v>6.6E-4</v>
      </c>
      <c r="I179" s="1050"/>
      <c r="J179" s="1050"/>
      <c r="K179" s="1050"/>
      <c r="L179" s="1050"/>
      <c r="M179" s="1050"/>
      <c r="N179" s="1035">
        <v>4.4999999999999999E-4</v>
      </c>
      <c r="O179" s="1050">
        <v>3.5E-4</v>
      </c>
      <c r="P179" s="1050">
        <v>2.7E-4</v>
      </c>
      <c r="Q179" s="1050">
        <v>2.3000000000000001E-4</v>
      </c>
      <c r="R179" s="1034">
        <f>SUM(S179:AC179)</f>
        <v>2.8700000000000002E-3</v>
      </c>
      <c r="S179" s="1034">
        <f>IF(E51&lt;=C178,C179,0)</f>
        <v>2.8700000000000002E-3</v>
      </c>
      <c r="T179" s="1034">
        <f>IF(AND(E51&gt;C178,E51&lt;=D178),C179+(E51-C178)*(C179-D179)/(C178-D178),0)</f>
        <v>0</v>
      </c>
      <c r="U179" s="1034">
        <f>IF(AND(E51&gt;D178,E51&lt;=E178),D179+(E51-D178)*(D179-E179)/(D178-E178),0)</f>
        <v>0</v>
      </c>
      <c r="V179" s="1034">
        <f>IF(AND(E51&gt;E178,E51&lt;=F178),E179+(E51-E178)*(E179-F179)/(E178-F178),0)</f>
        <v>0</v>
      </c>
      <c r="W179" s="1034">
        <f>IF(AND(E51&gt;F178,E51&lt;=G178),F179+(E51-F178)*(F179-G179)/(F178-G178),0)</f>
        <v>0</v>
      </c>
      <c r="X179" s="1034">
        <f>IF(AND(E51&gt;G178,E51&lt;=H178),G179+(E51-G178)*(G179-H179)/(G178-H178),0)</f>
        <v>0</v>
      </c>
      <c r="Y179" s="1034">
        <f>IF(AND(E51&gt;H178,E51&lt;=N178),H179+(E51-H178)*(H179-N179)/(H178-N178),0)</f>
        <v>0</v>
      </c>
      <c r="Z179" s="1034">
        <f>IF(AND(E51&gt;N178,E51&lt;=O178),N179+(E51-N178)*(N179-O179)/(N178-O178),0)</f>
        <v>0</v>
      </c>
      <c r="AA179" s="1034">
        <f>IF(AND(E51&gt;O178,E51&lt;=P178),O179+(E51-O178)*(O179-P179)/(O178-P178),0)</f>
        <v>0</v>
      </c>
      <c r="AB179" s="1034">
        <f>IF(AND(E51&gt;P178,E51&lt;=Q178),P179+(E51-P178)*(P179-Q179)/(P178-Q178),0)</f>
        <v>0</v>
      </c>
      <c r="AC179" s="1034">
        <f>IF(E51&gt;=Q178,Q179,0)</f>
        <v>0</v>
      </c>
      <c r="AD179" s="1034"/>
      <c r="AE179" s="1015"/>
      <c r="AF179" s="1008"/>
      <c r="AG179" s="1008"/>
      <c r="AH179" s="1008"/>
    </row>
    <row r="180" spans="1:34" ht="12.75" x14ac:dyDescent="0.2">
      <c r="A180" s="1009"/>
      <c r="B180" s="1012" t="s">
        <v>1130</v>
      </c>
      <c r="C180" s="1050">
        <v>4.3899999999999998E-3</v>
      </c>
      <c r="D180" s="1050">
        <v>3.9500000000000004E-3</v>
      </c>
      <c r="E180" s="1053">
        <v>2.2399999999999998E-3</v>
      </c>
      <c r="F180" s="1050">
        <v>1.41E-3</v>
      </c>
      <c r="G180" s="1050">
        <v>1.2199999999999999E-3</v>
      </c>
      <c r="H180" s="1050">
        <v>1E-3</v>
      </c>
      <c r="I180" s="1050"/>
      <c r="J180" s="1050"/>
      <c r="K180" s="1050"/>
      <c r="L180" s="1050"/>
      <c r="M180" s="1050"/>
      <c r="N180" s="1035">
        <v>6.8000000000000005E-4</v>
      </c>
      <c r="O180" s="1050">
        <v>5.4000000000000001E-4</v>
      </c>
      <c r="P180" s="1050">
        <v>4.0999999999999999E-4</v>
      </c>
      <c r="Q180" s="1050">
        <v>3.6000000000000002E-4</v>
      </c>
      <c r="R180" s="1034">
        <f>SUM(S180:AC180)</f>
        <v>4.3899999999999998E-3</v>
      </c>
      <c r="S180" s="1034">
        <f>IF(E51&lt;=C178,C180,0)</f>
        <v>4.3899999999999998E-3</v>
      </c>
      <c r="T180" s="1034">
        <f>IF(AND(E51&gt;C178,E51&lt;=D178),C180+(E51-C178)*(C180-D180)/(C178-D178),0)</f>
        <v>0</v>
      </c>
      <c r="U180" s="1034">
        <f>IF(AND(E51&gt;D178,E51&lt;=E178),D180+(E51-D178)*(D180-E180)/(D178-E178),0)</f>
        <v>0</v>
      </c>
      <c r="V180" s="1034">
        <f>IF(AND(E51&gt;E178,E51&lt;=F178),E180+(E51-E178)*(E180-F180)/(E178-F178),0)</f>
        <v>0</v>
      </c>
      <c r="W180" s="1034">
        <f>IF(AND(E51&gt;F178,E51&lt;=G178),F180+(E51-F178)*(F180-G180)/(F178-G178),0)</f>
        <v>0</v>
      </c>
      <c r="X180" s="1034">
        <f>IF(AND(E51&gt;G178,E51&lt;=H178),G180+(E51-G178)*(G180-H180)/(G178-H178),0)</f>
        <v>0</v>
      </c>
      <c r="Y180" s="1034">
        <f>IF(AND(E51&gt;H178,E51&lt;=N178),H180+(E51-H178)*(H180-N180)/(H178-N178),0)</f>
        <v>0</v>
      </c>
      <c r="Z180" s="1034">
        <f>IF(AND(E51&gt;N178,E51&lt;=O178),N180+(E51-N178)*(N180-O180)/(N178-O178),0)</f>
        <v>0</v>
      </c>
      <c r="AA180" s="1034">
        <f>IF(AND(E51&gt;O178,E51&lt;=P178),O180+(E51-O178)*(O180-P180)/(O178-P178),0)</f>
        <v>0</v>
      </c>
      <c r="AB180" s="1034">
        <f>IF(AND(E51&gt;P178,E51&lt;=Q178),P180+(E51-P178)*(P180-Q180)/(P178-Q178),0)</f>
        <v>0</v>
      </c>
      <c r="AC180" s="1034">
        <f>IF(E51&gt;=Q178,Q180,0)</f>
        <v>0</v>
      </c>
      <c r="AD180" s="1034"/>
      <c r="AE180" s="1015"/>
      <c r="AF180" s="1008"/>
      <c r="AG180" s="1008"/>
      <c r="AH180" s="1008"/>
    </row>
    <row r="181" spans="1:34" ht="12.75" x14ac:dyDescent="0.2">
      <c r="A181" s="1009"/>
      <c r="B181" s="1012" t="s">
        <v>71</v>
      </c>
      <c r="C181" s="1050">
        <v>2.0400000000000001E-3</v>
      </c>
      <c r="D181" s="1050">
        <v>1.7899999999999999E-3</v>
      </c>
      <c r="E181" s="1053">
        <v>1.0300000000000001E-3</v>
      </c>
      <c r="F181" s="1050">
        <v>6.6E-4</v>
      </c>
      <c r="G181" s="1050">
        <v>5.8E-4</v>
      </c>
      <c r="H181" s="1050">
        <v>4.6000000000000001E-4</v>
      </c>
      <c r="I181" s="1050"/>
      <c r="J181" s="1050"/>
      <c r="K181" s="1050"/>
      <c r="L181" s="1050"/>
      <c r="M181" s="1050"/>
      <c r="N181" s="1035">
        <v>3.2000000000000003E-4</v>
      </c>
      <c r="O181" s="1050">
        <v>2.5999999999999998E-4</v>
      </c>
      <c r="P181" s="1050">
        <v>2.1000000000000001E-4</v>
      </c>
      <c r="Q181" s="1050">
        <v>1.9000000000000001E-4</v>
      </c>
      <c r="R181" s="1034">
        <f>SUM(S181:AC181)</f>
        <v>2.0400000000000001E-3</v>
      </c>
      <c r="S181" s="1034">
        <f>IF(E51&lt;=C178,C181,0)</f>
        <v>2.0400000000000001E-3</v>
      </c>
      <c r="T181" s="1034">
        <f>IF(AND(E51&gt;C178,E51&lt;=D178),C181+(E51-C178)*(C181-D181)/(C178-D178),0)</f>
        <v>0</v>
      </c>
      <c r="U181" s="1034">
        <f>IF(AND(E51&gt;D178,E51&lt;=E178),D181+(E51-D178)*(D181-E181)/(D178-E178),0)</f>
        <v>0</v>
      </c>
      <c r="V181" s="1034">
        <f>IF(AND(E51&gt;E178,E51&lt;=F178),E181+(E51-E178)*(E181-F181)/(E178-F178),0)</f>
        <v>0</v>
      </c>
      <c r="W181" s="1034">
        <f>IF(AND(E51&gt;F178,E51&lt;=G178),F181+(E51-F178)*(F181-G181)/(F178-G178),0)</f>
        <v>0</v>
      </c>
      <c r="X181" s="1034">
        <f>IF(AND(E51&gt;G178,E51&lt;=H178),G181+(E51-G178)*(G181-H181)/(G178-H178),0)</f>
        <v>0</v>
      </c>
      <c r="Y181" s="1034">
        <f>IF(AND(E51&gt;H178,E51&lt;=N178),H181+(E51-H178)*(H181-N181)/(H178-N178),0)</f>
        <v>0</v>
      </c>
      <c r="Z181" s="1034">
        <f>IF(AND(E51&gt;N178,E51&lt;=O178),N181+(E51-N178)*(N181-O181)/(N178-O178),0)</f>
        <v>0</v>
      </c>
      <c r="AA181" s="1034">
        <f>IF(AND(E51&gt;O178,E51&lt;=P178),O181+(E51-O178)*(O181-P181)/(O178-P178),0)</f>
        <v>0</v>
      </c>
      <c r="AB181" s="1034">
        <f>IF(AND(E51&gt;P178,E51&lt;=Q178),P181+(E51-P178)*(P181-Q181)/(P178-Q178),0)</f>
        <v>0</v>
      </c>
      <c r="AC181" s="1034">
        <f>IF(E51&gt;=Q178,Q181,0)</f>
        <v>0</v>
      </c>
      <c r="AD181" s="1034"/>
      <c r="AE181" s="1015"/>
      <c r="AF181" s="1008"/>
      <c r="AG181" s="1008"/>
      <c r="AH181" s="1008"/>
    </row>
    <row r="182" spans="1:34" ht="12.75" x14ac:dyDescent="0.2">
      <c r="A182" s="1009"/>
      <c r="B182" s="1012" t="s">
        <v>1501</v>
      </c>
      <c r="C182" s="1050">
        <v>2.1900000000000001E-3</v>
      </c>
      <c r="D182" s="1050">
        <v>1.91E-3</v>
      </c>
      <c r="E182" s="1053">
        <v>1.1000000000000001E-3</v>
      </c>
      <c r="F182" s="1050">
        <v>6.9999999999999999E-4</v>
      </c>
      <c r="G182" s="1050">
        <v>6.0999999999999997E-4</v>
      </c>
      <c r="H182" s="1050">
        <v>4.8999999999999998E-4</v>
      </c>
      <c r="I182" s="1050"/>
      <c r="J182" s="1050"/>
      <c r="K182" s="1050"/>
      <c r="L182" s="1050"/>
      <c r="M182" s="1050"/>
      <c r="N182" s="1035">
        <v>4.0000000000000002E-4</v>
      </c>
      <c r="O182" s="1050">
        <v>2.9999999999999997E-4</v>
      </c>
      <c r="P182" s="1050">
        <v>2.4000000000000001E-4</v>
      </c>
      <c r="Q182" s="1050">
        <v>2.0000000000000001E-4</v>
      </c>
      <c r="R182" s="1034">
        <f>SUM(S182:AC182)</f>
        <v>2.1900000000000001E-3</v>
      </c>
      <c r="S182" s="1034">
        <f>IF(E51&lt;=C178,C182,0)</f>
        <v>2.1900000000000001E-3</v>
      </c>
      <c r="T182" s="1034">
        <f>IF(AND(E51&gt;C178,E51&lt;=D178),C182+(E51-C178)*(C182-D182)/(C178-D178),0)</f>
        <v>0</v>
      </c>
      <c r="U182" s="1034">
        <f>IF(AND(E51&gt;D178,E51&lt;=E178),D182+(E51-D178)*(D182-E182)/(D178-E178),0)</f>
        <v>0</v>
      </c>
      <c r="V182" s="1034">
        <f>IF(AND(E51&gt;E178,E51&lt;=F178),E182+(E51-E178)*(E182-F182)/(E178-F178),0)</f>
        <v>0</v>
      </c>
      <c r="W182" s="1034">
        <f>IF(AND(E51&gt;F178,E51&lt;=G178),F182+(E51-F178)*(F182-G182)/(F178-G178),0)</f>
        <v>0</v>
      </c>
      <c r="X182" s="1034">
        <f>IF(AND(E51&gt;G178,E51&lt;=H178),G182+(E51-G178)*(G182-H182)/(G178-H178),0)</f>
        <v>0</v>
      </c>
      <c r="Y182" s="1034">
        <f>IF(AND(E51&gt;H178,E51&lt;=N178),H182+(E51-H178)*(H182-N182)/(H178-N178),0)</f>
        <v>0</v>
      </c>
      <c r="Z182" s="1034">
        <f>IF(AND(E51&gt;N178,E51&lt;=O178),N182+(E51-N178)*(N182-O182)/(N178-O178),0)</f>
        <v>0</v>
      </c>
      <c r="AA182" s="1034">
        <f>IF(AND(E51&gt;O178,E51&lt;=P178),O182+(E51-O178)*(O182-P182)/(O178-P178),0)</f>
        <v>0</v>
      </c>
      <c r="AB182" s="1034">
        <f>IF(AND(E51&gt;P178,E51&lt;=Q178),P182+(E51-P178)*(P182-Q182)/(P178-Q178),0)</f>
        <v>0</v>
      </c>
      <c r="AC182" s="1034">
        <f>IF(E51&gt;=Q178,Q182,0)</f>
        <v>0</v>
      </c>
      <c r="AD182" s="1034"/>
      <c r="AE182" s="1015"/>
      <c r="AF182" s="1008"/>
      <c r="AG182" s="1008"/>
      <c r="AH182" s="1008"/>
    </row>
    <row r="183" spans="1:34" ht="12.75" x14ac:dyDescent="0.2">
      <c r="A183" s="1009"/>
      <c r="B183" s="1012" t="s">
        <v>500</v>
      </c>
      <c r="C183" s="1050">
        <v>2.3600000000000001E-3</v>
      </c>
      <c r="D183" s="1050">
        <v>2.0300000000000001E-3</v>
      </c>
      <c r="E183" s="1053">
        <v>1.2199999999999999E-3</v>
      </c>
      <c r="F183" s="1050">
        <v>7.9000000000000001E-4</v>
      </c>
      <c r="G183" s="1050">
        <v>6.8000000000000005E-4</v>
      </c>
      <c r="H183" s="1050">
        <v>5.5999999999999995E-4</v>
      </c>
      <c r="I183" s="1050"/>
      <c r="J183" s="1050"/>
      <c r="K183" s="1050"/>
      <c r="L183" s="1050"/>
      <c r="M183" s="1050"/>
      <c r="N183" s="1035">
        <v>4.4000000000000002E-4</v>
      </c>
      <c r="O183" s="1050">
        <v>3.4000000000000002E-4</v>
      </c>
      <c r="P183" s="1050">
        <v>2.5999999999999998E-4</v>
      </c>
      <c r="Q183" s="1050">
        <v>2.2000000000000001E-4</v>
      </c>
      <c r="R183" s="1034">
        <f>SUM(S183:AC183)</f>
        <v>2.3600000000000001E-3</v>
      </c>
      <c r="S183" s="1034">
        <f>IF(E51&lt;=C178,C183,0)</f>
        <v>2.3600000000000001E-3</v>
      </c>
      <c r="T183" s="1034">
        <f>IF(AND(E51&gt;C178,E51&lt;=D178),C183+(E51-C178)*(C183-D183)/(C178-D178),0)</f>
        <v>0</v>
      </c>
      <c r="U183" s="1034">
        <f>IF(AND(E51&gt;D178,E51&lt;=E178),D183+(E51-D178)*(D183-E183)/(D178-E178),0)</f>
        <v>0</v>
      </c>
      <c r="V183" s="1034">
        <f>IF(AND(E51&gt;E178,E51&lt;=F178),E183+(E51-E178)*(E183-F183)/(E178-F178),0)</f>
        <v>0</v>
      </c>
      <c r="W183" s="1034">
        <f>IF(AND(E51&gt;F178,E51&lt;=G178),F183+(E51-F178)*(F183-G183)/(F178-G178),0)</f>
        <v>0</v>
      </c>
      <c r="X183" s="1034">
        <f>IF(AND(E51&gt;G178,E51&lt;=H178),G183+(E51-G178)*(G183-H183)/(G178-H178),0)</f>
        <v>0</v>
      </c>
      <c r="Y183" s="1034">
        <f>IF(AND(E51&gt;H178,E51&lt;=N178),H183+(E51-H178)*(H183-N183)/(H178-N178),0)</f>
        <v>0</v>
      </c>
      <c r="Z183" s="1034">
        <f>IF(AND(E51&gt;N178,E51&lt;=O178),N183+(E51-N178)*(N183-O183)/(N178-O178),0)</f>
        <v>0</v>
      </c>
      <c r="AA183" s="1034">
        <f>IF(AND(E51&gt;O178,E51&lt;=P178),O183+(E51-O178)*(O183-P183)/(O178-P178),0)</f>
        <v>0</v>
      </c>
      <c r="AB183" s="1034">
        <f>IF(AND(E51&gt;P178,E51&lt;=Q178),P183+(E51-P178)*(P183-Q183)/(P178-Q178),0)</f>
        <v>0</v>
      </c>
      <c r="AC183" s="1034">
        <f>IF(E51&gt;=Q178,Q183,0)</f>
        <v>0</v>
      </c>
      <c r="AD183" s="1034"/>
      <c r="AE183" s="1015"/>
      <c r="AF183" s="1008"/>
      <c r="AG183" s="1008"/>
      <c r="AH183" s="1008"/>
    </row>
    <row r="184" spans="1:34" ht="12.75" x14ac:dyDescent="0.2">
      <c r="A184" s="1009"/>
      <c r="B184" s="1011"/>
      <c r="C184" s="1018"/>
      <c r="D184" s="1018"/>
      <c r="E184" s="1019"/>
      <c r="F184" s="1011"/>
      <c r="G184" s="1018"/>
      <c r="H184" s="1018"/>
      <c r="I184" s="1018"/>
      <c r="J184" s="1018"/>
      <c r="K184" s="1018"/>
      <c r="L184" s="1018"/>
      <c r="M184" s="1018"/>
      <c r="N184" s="1033"/>
      <c r="O184" s="1011"/>
      <c r="P184" s="1011"/>
      <c r="Q184" s="1011"/>
      <c r="R184" s="1011"/>
      <c r="S184" s="1034"/>
      <c r="T184" s="1034"/>
      <c r="U184" s="1034"/>
      <c r="V184" s="1034"/>
      <c r="W184" s="1034"/>
      <c r="X184" s="1034"/>
      <c r="Y184" s="1034"/>
      <c r="Z184" s="1034"/>
      <c r="AA184" s="1034"/>
      <c r="AB184" s="1034"/>
      <c r="AC184" s="1034"/>
      <c r="AD184" s="1034"/>
      <c r="AE184" s="1015"/>
      <c r="AF184" s="1008"/>
      <c r="AG184" s="1008"/>
      <c r="AH184" s="1008"/>
    </row>
    <row r="185" spans="1:34" ht="12.75" x14ac:dyDescent="0.2">
      <c r="A185" s="1036">
        <v>10</v>
      </c>
      <c r="B185" s="1182" t="s">
        <v>1561</v>
      </c>
      <c r="C185" s="1182"/>
      <c r="D185" s="1182"/>
      <c r="E185" s="1182"/>
      <c r="F185" s="1182"/>
      <c r="G185" s="1182"/>
      <c r="H185" s="1182"/>
      <c r="I185" s="1182"/>
      <c r="J185" s="1182"/>
      <c r="K185" s="1182"/>
      <c r="L185" s="1182"/>
      <c r="M185" s="1182"/>
      <c r="N185" s="1182"/>
      <c r="O185" s="1182"/>
      <c r="P185" s="1182"/>
      <c r="Q185" s="1182"/>
      <c r="R185" s="1182"/>
      <c r="S185" s="1034"/>
      <c r="T185" s="1034"/>
      <c r="U185" s="1034"/>
      <c r="V185" s="1034"/>
      <c r="W185" s="1034"/>
      <c r="X185" s="1034"/>
      <c r="Y185" s="1034"/>
      <c r="Z185" s="1034"/>
      <c r="AA185" s="1034"/>
      <c r="AB185" s="1034"/>
      <c r="AC185" s="1034"/>
      <c r="AD185" s="1034"/>
      <c r="AE185" s="1015"/>
      <c r="AF185" s="1008"/>
      <c r="AG185" s="1008"/>
      <c r="AH185" s="1008"/>
    </row>
    <row r="186" spans="1:34" ht="12.75" x14ac:dyDescent="0.2">
      <c r="A186" s="1009"/>
      <c r="B186" s="1169" t="s">
        <v>589</v>
      </c>
      <c r="C186" s="1020" t="s">
        <v>1171</v>
      </c>
      <c r="D186" s="1020"/>
      <c r="E186" s="1021"/>
      <c r="F186" s="1016"/>
      <c r="G186" s="1020"/>
      <c r="H186" s="1020"/>
      <c r="I186" s="1020"/>
      <c r="J186" s="1020"/>
      <c r="K186" s="1020"/>
      <c r="L186" s="1020"/>
      <c r="M186" s="1020"/>
      <c r="N186" s="1022"/>
      <c r="O186" s="1016"/>
      <c r="P186" s="1016"/>
      <c r="Q186" s="1016"/>
      <c r="R186" s="1016" t="s">
        <v>1500</v>
      </c>
      <c r="S186" s="1034"/>
      <c r="T186" s="1034"/>
      <c r="U186" s="1034"/>
      <c r="V186" s="1034"/>
      <c r="W186" s="1034"/>
      <c r="X186" s="1034"/>
      <c r="Y186" s="1034"/>
      <c r="Z186" s="1034"/>
      <c r="AA186" s="1034"/>
      <c r="AB186" s="1034"/>
      <c r="AC186" s="1034"/>
      <c r="AD186" s="1034"/>
      <c r="AE186" s="1015"/>
      <c r="AF186" s="1008"/>
      <c r="AG186" s="1008"/>
      <c r="AH186" s="1008"/>
    </row>
    <row r="187" spans="1:34" ht="12.75" x14ac:dyDescent="0.2">
      <c r="A187" s="1024"/>
      <c r="B187" s="1169"/>
      <c r="C187" s="1051">
        <v>10</v>
      </c>
      <c r="D187" s="1030">
        <v>20</v>
      </c>
      <c r="E187" s="1052">
        <v>50</v>
      </c>
      <c r="F187" s="1030">
        <v>100</v>
      </c>
      <c r="G187" s="1030">
        <v>200</v>
      </c>
      <c r="H187" s="1030">
        <v>500</v>
      </c>
      <c r="I187" s="1030"/>
      <c r="J187" s="1030"/>
      <c r="K187" s="1030"/>
      <c r="L187" s="1030"/>
      <c r="M187" s="1030"/>
      <c r="N187" s="1040">
        <v>1000</v>
      </c>
      <c r="O187" s="1030">
        <v>2000</v>
      </c>
      <c r="P187" s="1030">
        <v>5000</v>
      </c>
      <c r="Q187" s="1030">
        <v>8000</v>
      </c>
      <c r="R187" s="1029"/>
      <c r="S187" s="1034"/>
      <c r="T187" s="1034"/>
      <c r="U187" s="1034"/>
      <c r="V187" s="1034"/>
      <c r="W187" s="1034"/>
      <c r="X187" s="1034"/>
      <c r="Y187" s="1034"/>
      <c r="Z187" s="1034"/>
      <c r="AA187" s="1034"/>
      <c r="AB187" s="1034"/>
      <c r="AC187" s="1034"/>
      <c r="AD187" s="1034"/>
      <c r="AE187" s="1015"/>
      <c r="AF187" s="1008"/>
      <c r="AG187" s="1008"/>
      <c r="AH187" s="1008"/>
    </row>
    <row r="188" spans="1:34" ht="12.75" x14ac:dyDescent="0.2">
      <c r="A188" s="1009"/>
      <c r="B188" s="1012" t="s">
        <v>32</v>
      </c>
      <c r="C188" s="1050">
        <v>2.6280000000000001E-2</v>
      </c>
      <c r="D188" s="1050">
        <v>2.282E-2</v>
      </c>
      <c r="E188" s="1053">
        <v>1.9480000000000001E-2</v>
      </c>
      <c r="F188" s="1050">
        <v>1.512E-2</v>
      </c>
      <c r="G188" s="1050">
        <v>1.2670000000000001E-2</v>
      </c>
      <c r="H188" s="1050">
        <v>9.7400000000000004E-3</v>
      </c>
      <c r="I188" s="1050"/>
      <c r="J188" s="1050"/>
      <c r="K188" s="1050"/>
      <c r="L188" s="1050"/>
      <c r="M188" s="1050"/>
      <c r="N188" s="1035">
        <v>6.5300000000000002E-3</v>
      </c>
      <c r="O188" s="1050">
        <v>5.8900000000000003E-3</v>
      </c>
      <c r="P188" s="1050">
        <v>5.2900000000000004E-3</v>
      </c>
      <c r="Q188" s="1050">
        <v>4.5999999999999999E-3</v>
      </c>
      <c r="R188" s="1034">
        <f>SUM(S188:AC188)</f>
        <v>2.6280000000000001E-2</v>
      </c>
      <c r="S188" s="1034">
        <f>IF(C51&lt;=C187,C188,0)</f>
        <v>2.6280000000000001E-2</v>
      </c>
      <c r="T188" s="1034">
        <f>IF(AND(C51&gt;C187,C51&lt;=D187),C188+(C51-C187)*(C188-D188)/(C187-D187),0)</f>
        <v>0</v>
      </c>
      <c r="U188" s="1034">
        <f>IF(AND(C51&gt;D187,C51&lt;=E187),D188+(C51-D187)*(D188-E188)/(D187-E187),0)</f>
        <v>0</v>
      </c>
      <c r="V188" s="1034">
        <f>IF(AND(C51&gt;E187,C51&lt;=F187),E188+(C51-E187)*(E188-F188)/(E187-F187),0)</f>
        <v>0</v>
      </c>
      <c r="W188" s="1034">
        <f>IF(AND(C51&gt;F187,C51&lt;=G187),F188+(C51-F187)*(F188-G188)/(F187-G187),0)</f>
        <v>0</v>
      </c>
      <c r="X188" s="1034">
        <f>IF(AND(C51&gt;G187,C51&lt;=H187),G188+(C51-G187)*(G188-H188)/(G187-H187),0)</f>
        <v>0</v>
      </c>
      <c r="Y188" s="1034">
        <f>IF(AND(C51&gt;H187,C51&lt;=N187),H188+(C51-H187)*(H188-N188)/(H187-N187),0)</f>
        <v>0</v>
      </c>
      <c r="Z188" s="1034">
        <f>IF(AND(C51&gt;N187,C51&lt;=O187),N188+(C51-N187)*(N188-O188)/(N187-O187),0)</f>
        <v>0</v>
      </c>
      <c r="AA188" s="1034">
        <f>IF(AND(C51&gt;O187,C51&lt;=P187),O188+(C51-O187)*(O188-P188)/(O187-P187),0)</f>
        <v>0</v>
      </c>
      <c r="AB188" s="1034">
        <f>IF(AND(C51&gt;P187,C51&lt;=Q187),P188+(C51-P187)*(P188-Q188)/(P187-Q187),0)</f>
        <v>0</v>
      </c>
      <c r="AC188" s="1034">
        <f>IF(C51&gt;=Q187,Q188,0)</f>
        <v>0</v>
      </c>
      <c r="AD188" s="1034"/>
      <c r="AE188" s="1015"/>
      <c r="AF188" s="1008"/>
      <c r="AG188" s="1008"/>
      <c r="AH188" s="1008"/>
    </row>
    <row r="189" spans="1:34" ht="12.75" x14ac:dyDescent="0.2">
      <c r="A189" s="1009"/>
      <c r="B189" s="1012" t="s">
        <v>1130</v>
      </c>
      <c r="C189" s="1050">
        <v>2.8060000000000002E-2</v>
      </c>
      <c r="D189" s="1050">
        <v>2.5100000000000001E-2</v>
      </c>
      <c r="E189" s="1053">
        <v>2.0469999999999999E-2</v>
      </c>
      <c r="F189" s="1050">
        <v>1.7000000000000001E-2</v>
      </c>
      <c r="G189" s="1050">
        <v>1.3140000000000001E-2</v>
      </c>
      <c r="H189" s="1050">
        <v>1.0659999999999999E-2</v>
      </c>
      <c r="I189" s="1050"/>
      <c r="J189" s="1050"/>
      <c r="K189" s="1050"/>
      <c r="L189" s="1050"/>
      <c r="M189" s="1050"/>
      <c r="N189" s="1035">
        <v>6.7400000000000003E-3</v>
      </c>
      <c r="O189" s="1050">
        <v>6.0699999999999999E-3</v>
      </c>
      <c r="P189" s="1050">
        <v>5.4599999999999996E-3</v>
      </c>
      <c r="Q189" s="1050">
        <v>4.7400000000000003E-3</v>
      </c>
      <c r="R189" s="1034">
        <f>SUM(S189:AC189)</f>
        <v>2.8060000000000002E-2</v>
      </c>
      <c r="S189" s="1034">
        <f>IF(C51&lt;=C187,C189,0)</f>
        <v>2.8060000000000002E-2</v>
      </c>
      <c r="T189" s="1034">
        <f>IF(AND(C51&gt;C187,C51&lt;=D187),C189+(C51-C187)*(C189-D189)/(C187-D187),0)</f>
        <v>0</v>
      </c>
      <c r="U189" s="1034">
        <f>IF(AND(C51&gt;D187,C51&lt;=E187),D189+(C51-D187)*(D189-E189)/(D187-E187),0)</f>
        <v>0</v>
      </c>
      <c r="V189" s="1034">
        <f>IF(AND(C51&gt;E187,C51&lt;=F187),E189+(C51-E187)*(E189-F189)/(E187-F187),0)</f>
        <v>0</v>
      </c>
      <c r="W189" s="1034">
        <f>IF(AND(C51&gt;F187,C51&lt;=G187),F189+(C51-F187)*(F189-G189)/(F187-G187),0)</f>
        <v>0</v>
      </c>
      <c r="X189" s="1034">
        <f>IF(AND(C51&gt;G187,C51&lt;=H187),G189+(C51-G187)*(G189-H189)/(G187-H187),0)</f>
        <v>0</v>
      </c>
      <c r="Y189" s="1034">
        <f>IF(AND(C51&gt;H187,C51&lt;=N187),H189+(C51-H187)*(H189-N189)/(H187-N187),0)</f>
        <v>0</v>
      </c>
      <c r="Z189" s="1034">
        <f>IF(AND(C51&gt;N187,C51&lt;=O187),N189+(C51-N187)*(N189-O189)/(N187-O187),0)</f>
        <v>0</v>
      </c>
      <c r="AA189" s="1034">
        <f>IF(AND(C51&gt;O187,C51&lt;=P187),O189+(C51-O187)*(O189-P189)/(O187-P187),0)</f>
        <v>0</v>
      </c>
      <c r="AB189" s="1034">
        <f>IF(AND(C51&gt;P187,C51&lt;=Q187),P189+(C51-P187)*(P189-Q189)/(P187-Q187),0)</f>
        <v>0</v>
      </c>
      <c r="AC189" s="1034">
        <f>IF(C51&gt;=Q187,Q189,0)</f>
        <v>0</v>
      </c>
      <c r="AD189" s="1034"/>
      <c r="AE189" s="1015"/>
      <c r="AF189" s="1008"/>
      <c r="AG189" s="1008"/>
      <c r="AH189" s="1008"/>
    </row>
    <row r="190" spans="1:34" ht="12.75" x14ac:dyDescent="0.2">
      <c r="A190" s="1009"/>
      <c r="B190" s="1012" t="s">
        <v>71</v>
      </c>
      <c r="C190" s="1050">
        <v>2.562E-2</v>
      </c>
      <c r="D190" s="1050">
        <v>2.1600000000000001E-2</v>
      </c>
      <c r="E190" s="1053">
        <v>1.8849999999999999E-2</v>
      </c>
      <c r="F190" s="1050">
        <v>1.405E-2</v>
      </c>
      <c r="G190" s="1050">
        <v>1.043E-2</v>
      </c>
      <c r="H190" s="1050">
        <v>8.2199999999999999E-3</v>
      </c>
      <c r="I190" s="1050"/>
      <c r="J190" s="1050"/>
      <c r="K190" s="1050"/>
      <c r="L190" s="1050"/>
      <c r="M190" s="1050"/>
      <c r="N190" s="1035">
        <v>5.9899999999999997E-3</v>
      </c>
      <c r="O190" s="1050">
        <v>5.3899999999999998E-3</v>
      </c>
      <c r="P190" s="1050">
        <v>4.8500000000000001E-3</v>
      </c>
      <c r="Q190" s="1050">
        <v>4.2199999999999998E-3</v>
      </c>
      <c r="R190" s="1034">
        <f>SUM(S190:AC190)</f>
        <v>2.562E-2</v>
      </c>
      <c r="S190" s="1034">
        <f>IF(C51&lt;=C187,C190,0)</f>
        <v>2.562E-2</v>
      </c>
      <c r="T190" s="1034">
        <f>IF(AND(C51&gt;C187,C51&lt;=D187),C190+(C51-C187)*(C190-D190)/(C187-D187),0)</f>
        <v>0</v>
      </c>
      <c r="U190" s="1034">
        <f>IF(AND(C51&gt;D187,C51&lt;=E187),D190+(C51-D187)*(D190-E190)/(D187-E187),0)</f>
        <v>0</v>
      </c>
      <c r="V190" s="1034">
        <f>IF(AND(C51&gt;E187,C51&lt;=F187),E190+(C51-E187)*(E190-F190)/(E187-F187),0)</f>
        <v>0</v>
      </c>
      <c r="W190" s="1034">
        <f>IF(AND(C51&gt;F187,C51&lt;=G187),F190+(C51-F187)*(F190-G190)/(F187-G187),0)</f>
        <v>0</v>
      </c>
      <c r="X190" s="1034">
        <f>IF(AND(C51&gt;G187,C51&lt;=H187),G190+(C51-G187)*(G190-H190)/(G187-H187),0)</f>
        <v>0</v>
      </c>
      <c r="Y190" s="1034">
        <f>IF(AND(C51&gt;H187,C51&lt;=N187),H190+(C51-H187)*(H190-N190)/(H187-N187),0)</f>
        <v>0</v>
      </c>
      <c r="Z190" s="1034">
        <f>IF(AND(C51&gt;N187,C51&lt;=O187),N190+(C51-N187)*(N190-O190)/(N187-O187),0)</f>
        <v>0</v>
      </c>
      <c r="AA190" s="1034">
        <f>IF(AND(C51&gt;O187,C51&lt;=P187),O190+(C51-O187)*(O190-P190)/(O187-P187),0)</f>
        <v>0</v>
      </c>
      <c r="AB190" s="1034">
        <f>IF(AND(C51&gt;P187,C51&lt;=Q187),P190+(C51-P187)*(P190-Q190)/(P187-Q187),0)</f>
        <v>0</v>
      </c>
      <c r="AC190" s="1034">
        <f>IF(C51&gt;=Q187,Q190,0)</f>
        <v>0</v>
      </c>
      <c r="AD190" s="1034"/>
      <c r="AE190" s="1015"/>
      <c r="AF190" s="1008"/>
      <c r="AG190" s="1008"/>
      <c r="AH190" s="1008"/>
    </row>
    <row r="191" spans="1:34" ht="12.75" x14ac:dyDescent="0.2">
      <c r="A191" s="1009"/>
      <c r="B191" s="1012" t="s">
        <v>1501</v>
      </c>
      <c r="C191" s="1050">
        <v>2.0789999999999999E-2</v>
      </c>
      <c r="D191" s="1050">
        <v>1.8339999999999999E-2</v>
      </c>
      <c r="E191" s="1053">
        <v>1.66E-2</v>
      </c>
      <c r="F191" s="1050">
        <v>1.2659999999999999E-2</v>
      </c>
      <c r="G191" s="1050">
        <v>9.7400000000000004E-3</v>
      </c>
      <c r="H191" s="1050">
        <v>7.79E-3</v>
      </c>
      <c r="I191" s="1050"/>
      <c r="J191" s="1050"/>
      <c r="K191" s="1050"/>
      <c r="L191" s="1050"/>
      <c r="M191" s="1050"/>
      <c r="N191" s="1035">
        <v>5.1799999999999997E-3</v>
      </c>
      <c r="O191" s="1050">
        <v>4.6600000000000001E-3</v>
      </c>
      <c r="P191" s="1050">
        <v>4.1900000000000001E-3</v>
      </c>
      <c r="Q191" s="1050">
        <v>3.64E-3</v>
      </c>
      <c r="R191" s="1034">
        <f>SUM(S191:AC191)</f>
        <v>2.0789999999999999E-2</v>
      </c>
      <c r="S191" s="1034">
        <f>IF(C51&lt;=C187,C191,0)</f>
        <v>2.0789999999999999E-2</v>
      </c>
      <c r="T191" s="1034">
        <f>IF(AND(C51&gt;C187,C51&lt;=D187),C191+(C51-C187)*(C191-D191)/(C187-D187),0)</f>
        <v>0</v>
      </c>
      <c r="U191" s="1034">
        <f>IF(AND(C51&gt;D187,C51&lt;=E187),D191+(C51-D187)*(D191-E191)/(D187-E187),0)</f>
        <v>0</v>
      </c>
      <c r="V191" s="1034">
        <f>IF(AND(C51&gt;E187,C51&lt;=F187),E191+(C51-E187)*(E191-F191)/(E187-F187),0)</f>
        <v>0</v>
      </c>
      <c r="W191" s="1034">
        <f>IF(AND(C51&gt;F187,C51&lt;=G187),F191+(C51-F187)*(F191-G191)/(F187-G187),0)</f>
        <v>0</v>
      </c>
      <c r="X191" s="1034">
        <f>IF(AND(C51&gt;G187,C51&lt;=H187),G191+(C51-G187)*(G191-H191)/(G187-H187),0)</f>
        <v>0</v>
      </c>
      <c r="Y191" s="1034">
        <f>IF(AND(C51&gt;H187,C51&lt;=N187),H191+(C51-H187)*(H191-N191)/(H187-N187),0)</f>
        <v>0</v>
      </c>
      <c r="Z191" s="1034">
        <f>IF(AND(C51&gt;N187,C51&lt;=O187),N191+(C51-N187)*(N191-O191)/(N187-O187),0)</f>
        <v>0</v>
      </c>
      <c r="AA191" s="1034">
        <f>IF(AND(C51&gt;O187,C51&lt;=P187),O191+(C51-O187)*(O191-P191)/(O187-P187),0)</f>
        <v>0</v>
      </c>
      <c r="AB191" s="1034">
        <f>IF(AND(C51&gt;P187,C51&lt;=Q187),P191+(C51-P187)*(P191-Q191)/(P187-Q187),0)</f>
        <v>0</v>
      </c>
      <c r="AC191" s="1034">
        <f>IF(C51&gt;=Q187,Q191,0)</f>
        <v>0</v>
      </c>
      <c r="AD191" s="1034"/>
      <c r="AE191" s="1015"/>
      <c r="AF191" s="1008"/>
      <c r="AG191" s="1008"/>
      <c r="AH191" s="1008"/>
    </row>
    <row r="192" spans="1:34" ht="12.75" x14ac:dyDescent="0.2">
      <c r="A192" s="1009"/>
      <c r="B192" s="1012" t="s">
        <v>500</v>
      </c>
      <c r="C192" s="1050">
        <v>2.053E-2</v>
      </c>
      <c r="D192" s="1050">
        <v>1.805E-2</v>
      </c>
      <c r="E192" s="1053">
        <v>1.5879999999999998E-2</v>
      </c>
      <c r="F192" s="1050">
        <v>1.1979999999999999E-2</v>
      </c>
      <c r="G192" s="1050">
        <v>9.3600000000000003E-3</v>
      </c>
      <c r="H192" s="1050">
        <v>7.4799999999999997E-3</v>
      </c>
      <c r="I192" s="1050"/>
      <c r="J192" s="1050"/>
      <c r="K192" s="1050"/>
      <c r="L192" s="1050"/>
      <c r="M192" s="1050"/>
      <c r="N192" s="1035">
        <v>4.7800000000000004E-3</v>
      </c>
      <c r="O192" s="1050">
        <v>4.3099999999999996E-3</v>
      </c>
      <c r="P192" s="1050">
        <v>3.8800000000000002E-3</v>
      </c>
      <c r="Q192" s="1050">
        <v>3.3700000000000002E-3</v>
      </c>
      <c r="R192" s="1034">
        <f>SUM(S192:AC192)</f>
        <v>2.053E-2</v>
      </c>
      <c r="S192" s="1034">
        <f>IF(C51&lt;=C187,C192,0)</f>
        <v>2.053E-2</v>
      </c>
      <c r="T192" s="1034">
        <f>IF(AND(C51&gt;C187,C51&lt;=D187),C192+(C51-C187)*(C192-D192)/(C187-D187),0)</f>
        <v>0</v>
      </c>
      <c r="U192" s="1034">
        <f>IF(AND(C51&gt;D187,C51&lt;=E187),D192+(C51-D187)*(D192-E192)/(D187-E187),0)</f>
        <v>0</v>
      </c>
      <c r="V192" s="1034">
        <f>IF(AND(C51&gt;E187,C51&lt;=F187),E192+(C51-E187)*(E192-F192)/(E187-F187),0)</f>
        <v>0</v>
      </c>
      <c r="W192" s="1034">
        <f>IF(AND(C51&gt;F187,C51&lt;=G187),F192+(C51-F187)*(F192-G192)/(F187-G187),0)</f>
        <v>0</v>
      </c>
      <c r="X192" s="1034">
        <f>IF(AND(C51&gt;G187,C51&lt;=H187),G192+(C51-G187)*(G192-H192)/(G187-H187),0)</f>
        <v>0</v>
      </c>
      <c r="Y192" s="1034">
        <f>IF(AND(C51&gt;H187,C51&lt;=N187),H192+(C51-H187)*(H192-N192)/(H187-N187),0)</f>
        <v>0</v>
      </c>
      <c r="Z192" s="1034">
        <f>IF(AND(C51&gt;N187,C51&lt;=O187),N192+(C51-N187)*(N192-O192)/(N187-O187),0)</f>
        <v>0</v>
      </c>
      <c r="AA192" s="1034">
        <f>IF(AND(C51&gt;O187,C51&lt;=P187),O192+(C51-O187)*(O192-P192)/(O187-P187),0)</f>
        <v>0</v>
      </c>
      <c r="AB192" s="1034">
        <f>IF(AND(C51&gt;P187,C51&lt;=Q187),P192+(C51-P187)*(P192-Q192)/(P187-Q187),0)</f>
        <v>0</v>
      </c>
      <c r="AC192" s="1034">
        <f>IF(C51&gt;=Q187,Q192,0)</f>
        <v>0</v>
      </c>
      <c r="AD192" s="1034"/>
      <c r="AE192" s="1015"/>
      <c r="AF192" s="1008"/>
      <c r="AG192" s="1008"/>
      <c r="AH192" s="1008"/>
    </row>
    <row r="193" spans="1:34" ht="12.75" x14ac:dyDescent="0.2">
      <c r="A193" s="1009"/>
      <c r="B193" s="1011"/>
      <c r="C193" s="1018"/>
      <c r="D193" s="1018"/>
      <c r="E193" s="1019"/>
      <c r="F193" s="1011"/>
      <c r="G193" s="1018"/>
      <c r="H193" s="1018"/>
      <c r="I193" s="1018"/>
      <c r="J193" s="1018"/>
      <c r="K193" s="1018"/>
      <c r="L193" s="1018"/>
      <c r="M193" s="1018"/>
      <c r="N193" s="1033"/>
      <c r="O193" s="1011"/>
      <c r="P193" s="1011"/>
      <c r="Q193" s="1011"/>
      <c r="R193" s="1011"/>
      <c r="S193" s="1034"/>
      <c r="T193" s="1034"/>
      <c r="U193" s="1034"/>
      <c r="V193" s="1034"/>
      <c r="W193" s="1034"/>
      <c r="X193" s="1034"/>
      <c r="Y193" s="1034"/>
      <c r="Z193" s="1034"/>
      <c r="AA193" s="1034"/>
      <c r="AB193" s="1034"/>
      <c r="AC193" s="1034"/>
      <c r="AD193" s="1034"/>
      <c r="AE193" s="1015"/>
      <c r="AF193" s="1008"/>
      <c r="AG193" s="1008"/>
      <c r="AH193" s="1008"/>
    </row>
    <row r="194" spans="1:34" ht="12.75" x14ac:dyDescent="0.2">
      <c r="A194" s="1036">
        <v>11</v>
      </c>
      <c r="B194" s="1182" t="s">
        <v>1562</v>
      </c>
      <c r="C194" s="1182"/>
      <c r="D194" s="1182"/>
      <c r="E194" s="1182"/>
      <c r="F194" s="1182"/>
      <c r="G194" s="1182"/>
      <c r="H194" s="1182"/>
      <c r="I194" s="1182"/>
      <c r="J194" s="1182"/>
      <c r="K194" s="1182"/>
      <c r="L194" s="1182"/>
      <c r="M194" s="1182"/>
      <c r="N194" s="1182"/>
      <c r="O194" s="1182"/>
      <c r="P194" s="1182"/>
      <c r="Q194" s="1182"/>
      <c r="R194" s="1182"/>
      <c r="S194" s="1034"/>
      <c r="T194" s="1034"/>
      <c r="U194" s="1034"/>
      <c r="V194" s="1034"/>
      <c r="W194" s="1034"/>
      <c r="X194" s="1034"/>
      <c r="Y194" s="1034"/>
      <c r="Z194" s="1034"/>
      <c r="AA194" s="1034"/>
      <c r="AB194" s="1034"/>
      <c r="AC194" s="1034"/>
      <c r="AD194" s="1034"/>
      <c r="AE194" s="1015"/>
      <c r="AF194" s="1008"/>
      <c r="AG194" s="1008"/>
      <c r="AH194" s="1008"/>
    </row>
    <row r="195" spans="1:34" ht="12.75" x14ac:dyDescent="0.2">
      <c r="A195" s="1009"/>
      <c r="B195" s="1169" t="s">
        <v>589</v>
      </c>
      <c r="C195" s="1020" t="s">
        <v>720</v>
      </c>
      <c r="D195" s="1020"/>
      <c r="E195" s="1021"/>
      <c r="F195" s="1016"/>
      <c r="G195" s="1020"/>
      <c r="H195" s="1020"/>
      <c r="I195" s="1020"/>
      <c r="J195" s="1020"/>
      <c r="K195" s="1020"/>
      <c r="L195" s="1020"/>
      <c r="M195" s="1020"/>
      <c r="N195" s="1022"/>
      <c r="O195" s="1016"/>
      <c r="P195" s="1016"/>
      <c r="Q195" s="1016"/>
      <c r="R195" s="1016" t="s">
        <v>1500</v>
      </c>
      <c r="S195" s="1034"/>
      <c r="T195" s="1034"/>
      <c r="U195" s="1034"/>
      <c r="V195" s="1034"/>
      <c r="W195" s="1034"/>
      <c r="X195" s="1034"/>
      <c r="Y195" s="1034"/>
      <c r="Z195" s="1034"/>
      <c r="AA195" s="1034"/>
      <c r="AB195" s="1034"/>
      <c r="AC195" s="1034"/>
      <c r="AD195" s="1034"/>
      <c r="AE195" s="1015"/>
      <c r="AF195" s="1008"/>
      <c r="AG195" s="1008"/>
      <c r="AH195" s="1008"/>
    </row>
    <row r="196" spans="1:34" ht="12.75" x14ac:dyDescent="0.2">
      <c r="A196" s="1024"/>
      <c r="B196" s="1169"/>
      <c r="C196" s="1051">
        <v>10</v>
      </c>
      <c r="D196" s="1030">
        <v>20</v>
      </c>
      <c r="E196" s="1052">
        <v>50</v>
      </c>
      <c r="F196" s="1030">
        <v>100</v>
      </c>
      <c r="G196" s="1030">
        <v>200</v>
      </c>
      <c r="H196" s="1030">
        <v>500</v>
      </c>
      <c r="I196" s="1030"/>
      <c r="J196" s="1030"/>
      <c r="K196" s="1030"/>
      <c r="L196" s="1030"/>
      <c r="M196" s="1030"/>
      <c r="N196" s="1040">
        <v>1000</v>
      </c>
      <c r="O196" s="1030">
        <v>2000</v>
      </c>
      <c r="P196" s="1030">
        <v>5000</v>
      </c>
      <c r="Q196" s="1030">
        <v>8000</v>
      </c>
      <c r="R196" s="1029"/>
      <c r="S196" s="1034"/>
      <c r="T196" s="1034"/>
      <c r="U196" s="1034"/>
      <c r="V196" s="1034"/>
      <c r="W196" s="1034"/>
      <c r="X196" s="1034"/>
      <c r="Y196" s="1034"/>
      <c r="Z196" s="1034"/>
      <c r="AA196" s="1034"/>
      <c r="AB196" s="1034"/>
      <c r="AC196" s="1034"/>
      <c r="AD196" s="1034"/>
      <c r="AE196" s="1015"/>
      <c r="AF196" s="1008"/>
      <c r="AG196" s="1008"/>
      <c r="AH196" s="1008"/>
    </row>
    <row r="197" spans="1:34" ht="12.75" x14ac:dyDescent="0.2">
      <c r="A197" s="1009"/>
      <c r="B197" s="1012" t="s">
        <v>32</v>
      </c>
      <c r="C197" s="1054">
        <v>6.7499999999999999E-3</v>
      </c>
      <c r="D197" s="1054">
        <v>5.7200000000000003E-3</v>
      </c>
      <c r="E197" s="1053">
        <v>4.7699999999999999E-3</v>
      </c>
      <c r="F197" s="1054">
        <v>3.15E-3</v>
      </c>
      <c r="G197" s="1054">
        <v>2.5000000000000001E-3</v>
      </c>
      <c r="H197" s="1054">
        <v>2.14E-3</v>
      </c>
      <c r="I197" s="1054"/>
      <c r="J197" s="1054"/>
      <c r="K197" s="1054"/>
      <c r="L197" s="1054"/>
      <c r="M197" s="1054"/>
      <c r="N197" s="1040">
        <v>1.4400000000000001E-3</v>
      </c>
      <c r="O197" s="1054">
        <v>1.2999999999999999E-3</v>
      </c>
      <c r="P197" s="1054">
        <v>1.17E-3</v>
      </c>
      <c r="Q197" s="1054">
        <v>1.0200000000000001E-3</v>
      </c>
      <c r="R197" s="1034">
        <f>SUM(S197:AC197)</f>
        <v>6.7499999999999999E-3</v>
      </c>
      <c r="S197" s="1034">
        <f>IF(E51&lt;=C196,C197,0)</f>
        <v>6.7499999999999999E-3</v>
      </c>
      <c r="T197" s="1034">
        <f>IF(AND(E51&gt;C196,E51&lt;=D196),C197+(E51-C196)*(C197-D197)/(C196-D196),0)</f>
        <v>0</v>
      </c>
      <c r="U197" s="1034">
        <f>IF(AND(E51&gt;D196,E51&lt;=E196),D197+(E51-D196)*(D197-E197)/(D196-E196),0)</f>
        <v>0</v>
      </c>
      <c r="V197" s="1034">
        <f>IF(AND(E51&gt;E196,E51&lt;=F196),E197+(E51-E196)*(E197-F197)/(E196-F196),0)</f>
        <v>0</v>
      </c>
      <c r="W197" s="1034">
        <f>IF(AND(E51&gt;F196,E51&lt;=G196),F197+(E51-F196)*(F197-G197)/(F196-G196),0)</f>
        <v>0</v>
      </c>
      <c r="X197" s="1034">
        <f>IF(AND(E51&gt;G196,E51&lt;=H196),G197+(E51-G196)*(G197-H197)/(G196-H196),0)</f>
        <v>0</v>
      </c>
      <c r="Y197" s="1034">
        <f>IF(AND(E51&gt;H196,E51&lt;=N196),H197+(E51-H196)*(H197-N197)/(H196-N196),0)</f>
        <v>0</v>
      </c>
      <c r="Z197" s="1034">
        <f>IF(AND(E51&gt;N196,E51&lt;=O196),N197+(E51-N196)*(N197-O197)/(N196-O196),0)</f>
        <v>0</v>
      </c>
      <c r="AA197" s="1034">
        <f>IF(AND(E51&gt;O196,E51&lt;=P196),O197+(E51-O196)*(O197-P197)/(O196-P196),0)</f>
        <v>0</v>
      </c>
      <c r="AB197" s="1034">
        <f>IF(AND(E51&gt;P196,E51&lt;=Q196),P197+(E51-P196)*(P197-Q197)/(P196-Q196),0)</f>
        <v>0</v>
      </c>
      <c r="AC197" s="1034">
        <f>IF(E51&gt;=Q196,Q197,0)</f>
        <v>0</v>
      </c>
      <c r="AD197" s="1034"/>
      <c r="AE197" s="1015"/>
      <c r="AF197" s="1008"/>
      <c r="AG197" s="1008"/>
      <c r="AH197" s="1008"/>
    </row>
    <row r="198" spans="1:34" ht="12.75" x14ac:dyDescent="0.2">
      <c r="A198" s="1009"/>
      <c r="B198" s="1012" t="s">
        <v>1130</v>
      </c>
      <c r="C198" s="1054">
        <v>9.1800000000000007E-3</v>
      </c>
      <c r="D198" s="1054">
        <v>8.0400000000000003E-3</v>
      </c>
      <c r="E198" s="1053">
        <v>7.6699999999999997E-3</v>
      </c>
      <c r="F198" s="1054">
        <v>6.4900000000000001E-3</v>
      </c>
      <c r="G198" s="1054">
        <v>4.0200000000000001E-3</v>
      </c>
      <c r="H198" s="1054">
        <v>3.46E-3</v>
      </c>
      <c r="I198" s="1054"/>
      <c r="J198" s="1054"/>
      <c r="K198" s="1054"/>
      <c r="L198" s="1054"/>
      <c r="M198" s="1054"/>
      <c r="N198" s="1040">
        <v>2.9199999999999999E-3</v>
      </c>
      <c r="O198" s="1054">
        <v>2.6199999999999999E-3</v>
      </c>
      <c r="P198" s="1054">
        <v>2.3500000000000001E-3</v>
      </c>
      <c r="Q198" s="1054">
        <v>2.0400000000000001E-3</v>
      </c>
      <c r="R198" s="1034">
        <f>SUM(S198:AC198)</f>
        <v>9.1800000000000007E-3</v>
      </c>
      <c r="S198" s="1034">
        <f>IF(E51&lt;=C196,C198,0)</f>
        <v>9.1800000000000007E-3</v>
      </c>
      <c r="T198" s="1034">
        <f>IF(AND(E51&gt;C196,E51&lt;=D196),C198+(E51-C196)*(C198-D198)/(C196-D196),0)</f>
        <v>0</v>
      </c>
      <c r="U198" s="1034">
        <f>IF(AND(E51&gt;D196,E51&lt;=E196),D198+(E51-D196)*(D198-E198)/(D196-E196),0)</f>
        <v>0</v>
      </c>
      <c r="V198" s="1034">
        <f>IF(AND(E51&gt;E196,E51&lt;=F196),E198+(E51-E196)*(E198-F198)/(E196-F196),0)</f>
        <v>0</v>
      </c>
      <c r="W198" s="1034">
        <f>IF(AND(E51&gt;F196,E51&lt;=G196),F198+(E51-F196)*(F198-G198)/(F196-G196),0)</f>
        <v>0</v>
      </c>
      <c r="X198" s="1034">
        <f>IF(AND(E51&gt;G196,E51&lt;=H196),G198+(E51-G196)*(G198-H198)/(G196-H196),0)</f>
        <v>0</v>
      </c>
      <c r="Y198" s="1034">
        <f>IF(AND(E51&gt;H196,E51&lt;=N196),H198+(E51-H196)*(H198-N198)/(H196-N196),0)</f>
        <v>0</v>
      </c>
      <c r="Z198" s="1034">
        <f>IF(AND(E51&gt;N196,E51&lt;=O196),N198+(E51-N196)*(N198-O198)/(N196-O196),0)</f>
        <v>0</v>
      </c>
      <c r="AA198" s="1034">
        <f>IF(AND(E51&gt;O196,E51&lt;=P196),O198+(E51-O196)*(O198-P198)/(O196-P196),0)</f>
        <v>0</v>
      </c>
      <c r="AB198" s="1034">
        <f>IF(AND(E51&gt;P196,E51&lt;=Q196),P198+(E51-P196)*(P198-Q198)/(P196-Q196),0)</f>
        <v>0</v>
      </c>
      <c r="AC198" s="1034">
        <f>IF(E51&gt;=Q196,Q198,0)</f>
        <v>0</v>
      </c>
      <c r="AD198" s="1034"/>
      <c r="AE198" s="1015"/>
      <c r="AF198" s="1008"/>
      <c r="AG198" s="1008"/>
      <c r="AH198" s="1008"/>
    </row>
    <row r="199" spans="1:34" ht="12.75" x14ac:dyDescent="0.2">
      <c r="A199" s="1009"/>
      <c r="B199" s="1012" t="s">
        <v>71</v>
      </c>
      <c r="C199" s="1054">
        <v>5.4200000000000003E-3</v>
      </c>
      <c r="D199" s="1054">
        <v>4.64E-3</v>
      </c>
      <c r="E199" s="1053">
        <v>3.8899999999999998E-3</v>
      </c>
      <c r="F199" s="1054">
        <v>2.5600000000000002E-3</v>
      </c>
      <c r="G199" s="1054">
        <v>2.14E-3</v>
      </c>
      <c r="H199" s="1054">
        <v>1.7799999999999999E-3</v>
      </c>
      <c r="I199" s="1054"/>
      <c r="J199" s="1054"/>
      <c r="K199" s="1054"/>
      <c r="L199" s="1054"/>
      <c r="M199" s="1054"/>
      <c r="N199" s="1040">
        <v>1.1999999999999999E-3</v>
      </c>
      <c r="O199" s="1054">
        <v>1.08E-3</v>
      </c>
      <c r="P199" s="1054">
        <v>9.7000000000000005E-4</v>
      </c>
      <c r="Q199" s="1054">
        <v>8.4000000000000003E-4</v>
      </c>
      <c r="R199" s="1034">
        <f>SUM(S199:AC199)</f>
        <v>5.4200000000000003E-3</v>
      </c>
      <c r="S199" s="1034">
        <f>IF(E51&lt;=C196,C199,0)</f>
        <v>5.4200000000000003E-3</v>
      </c>
      <c r="T199" s="1034">
        <f>IF(AND(E51&gt;C196,E51&lt;=D196),C199+(E51-C196)*(C199-D199)/(C196-D196),0)</f>
        <v>0</v>
      </c>
      <c r="U199" s="1034">
        <f>IF(AND(E51&gt;D196,E51&lt;=E196),D199+(E51-D196)*(D199-E199)/(D196-E196),0)</f>
        <v>0</v>
      </c>
      <c r="V199" s="1034">
        <f>IF(AND(E51&gt;E196,E51&lt;=F196),E199+(E51-E196)*(E199-F199)/(E196-F196),0)</f>
        <v>0</v>
      </c>
      <c r="W199" s="1034">
        <f>IF(AND(E51&gt;F196,E51&lt;=G196),F199+(E51-F196)*(F199-G199)/(F196-G196),0)</f>
        <v>0</v>
      </c>
      <c r="X199" s="1034">
        <f>IF(AND(E51&gt;G196,E51&lt;=H196),G199+(E51-G196)*(G199-H199)/(G196-H196),0)</f>
        <v>0</v>
      </c>
      <c r="Y199" s="1034">
        <f>IF(AND(E51&gt;H196,E51&lt;=N196),H199+(E51-H196)*(H199-N199)/(H196-N196),0)</f>
        <v>0</v>
      </c>
      <c r="Z199" s="1034">
        <f>IF(AND(E51&gt;N196,E51&lt;=O196),N199+(E51-N196)*(N199-O199)/(N196-O196),0)</f>
        <v>0</v>
      </c>
      <c r="AA199" s="1034">
        <f>IF(AND(E51&gt;O196,E51&lt;=P196),O199+(E51-O196)*(O199-P199)/(O196-P196),0)</f>
        <v>0</v>
      </c>
      <c r="AB199" s="1034">
        <f>IF(AND(E51&gt;P196,E51&lt;=Q196),P199+(E51-P196)*(P199-Q199)/(P196-Q196),0)</f>
        <v>0</v>
      </c>
      <c r="AC199" s="1034">
        <f>IF(E51&gt;=Q196,Q199,0)</f>
        <v>0</v>
      </c>
      <c r="AD199" s="1034"/>
      <c r="AE199" s="1015"/>
      <c r="AF199" s="1008"/>
      <c r="AG199" s="1008"/>
      <c r="AH199" s="1008"/>
    </row>
    <row r="200" spans="1:34" ht="12.75" x14ac:dyDescent="0.2">
      <c r="A200" s="1009"/>
      <c r="B200" s="1012" t="s">
        <v>1501</v>
      </c>
      <c r="C200" s="1054">
        <v>5.7400000000000003E-3</v>
      </c>
      <c r="D200" s="1054">
        <v>4.6800000000000001E-3</v>
      </c>
      <c r="E200" s="1053">
        <v>4.1599999999999996E-3</v>
      </c>
      <c r="F200" s="1054">
        <v>2.7499999999999998E-3</v>
      </c>
      <c r="G200" s="1054">
        <v>2.2599999999999999E-3</v>
      </c>
      <c r="H200" s="1054">
        <v>1.9E-3</v>
      </c>
      <c r="I200" s="1054"/>
      <c r="J200" s="1054"/>
      <c r="K200" s="1054"/>
      <c r="L200" s="1054"/>
      <c r="M200" s="1054"/>
      <c r="N200" s="1040">
        <v>1.2999999999999999E-3</v>
      </c>
      <c r="O200" s="1054">
        <v>1.17E-3</v>
      </c>
      <c r="P200" s="1054">
        <v>1.0499999999999999E-3</v>
      </c>
      <c r="Q200" s="1054">
        <v>9.1E-4</v>
      </c>
      <c r="R200" s="1034">
        <f>SUM(S200:AC200)</f>
        <v>5.7400000000000003E-3</v>
      </c>
      <c r="S200" s="1034">
        <f>IF(E51&lt;=C196,C200,0)</f>
        <v>5.7400000000000003E-3</v>
      </c>
      <c r="T200" s="1034">
        <f>IF(AND(E51&gt;C196,E51&lt;=D196),C200+(E51-C196)*(C200-D200)/(C196-D196),0)</f>
        <v>0</v>
      </c>
      <c r="U200" s="1034">
        <f>IF(AND(E51&gt;D196,E51&lt;=E196),D200+(E51-D196)*(D200-E200)/(D196-E196),0)</f>
        <v>0</v>
      </c>
      <c r="V200" s="1034">
        <f>IF(AND(E51&gt;E196,E51&lt;=F196),E200+(E51-E196)*(E200-F200)/(E196-F196),0)</f>
        <v>0</v>
      </c>
      <c r="W200" s="1034">
        <f>IF(AND(E51&gt;F196,E51&lt;=G196),F200+(E51-F196)*(F200-G200)/(F196-G196),0)</f>
        <v>0</v>
      </c>
      <c r="X200" s="1034">
        <f>IF(AND(E51&gt;G196,E51&lt;=H196),G200+(E51-G196)*(G200-H200)/(G196-H196),0)</f>
        <v>0</v>
      </c>
      <c r="Y200" s="1034">
        <f>IF(AND(E51&gt;H196,E51&lt;=N196),H200+(E51-H196)*(H200-N200)/(H196-N196),0)</f>
        <v>0</v>
      </c>
      <c r="Z200" s="1034">
        <f>IF(AND(E51&gt;N196,E51&lt;=O196),N200+(E51-N196)*(N200-O200)/(N196-O196),0)</f>
        <v>0</v>
      </c>
      <c r="AA200" s="1034">
        <f>IF(AND(E51&gt;O196,E51&lt;=P196),O200+(E51-O196)*(O200-P200)/(O196-P196),0)</f>
        <v>0</v>
      </c>
      <c r="AB200" s="1034">
        <f>IF(AND(E51&gt;P196,E51&lt;=Q196),P200+(E51-P196)*(P200-Q200)/(P196-Q196),0)</f>
        <v>0</v>
      </c>
      <c r="AC200" s="1034">
        <f>IF(E51&gt;=Q196,Q200,0)</f>
        <v>0</v>
      </c>
      <c r="AD200" s="1034"/>
      <c r="AE200" s="1015"/>
      <c r="AF200" s="1008"/>
      <c r="AG200" s="1008"/>
      <c r="AH200" s="1008"/>
    </row>
    <row r="201" spans="1:34" ht="12.75" x14ac:dyDescent="0.2">
      <c r="A201" s="1009"/>
      <c r="B201" s="1012" t="s">
        <v>500</v>
      </c>
      <c r="C201" s="1054">
        <v>6.43E-3</v>
      </c>
      <c r="D201" s="1054">
        <v>5.5199999999999997E-3</v>
      </c>
      <c r="E201" s="1053">
        <v>4.5999999999999999E-3</v>
      </c>
      <c r="F201" s="1054">
        <v>3.0699999999999998E-3</v>
      </c>
      <c r="G201" s="1054">
        <v>2.4599999999999999E-3</v>
      </c>
      <c r="H201" s="1054">
        <v>2.14E-3</v>
      </c>
      <c r="I201" s="1054"/>
      <c r="J201" s="1054"/>
      <c r="K201" s="1054"/>
      <c r="L201" s="1054"/>
      <c r="M201" s="1054"/>
      <c r="N201" s="1040">
        <v>1.42E-3</v>
      </c>
      <c r="O201" s="1054">
        <v>1.2700000000000001E-3</v>
      </c>
      <c r="P201" s="1054">
        <v>1.14E-3</v>
      </c>
      <c r="Q201" s="1054">
        <v>9.8999999999999999E-4</v>
      </c>
      <c r="R201" s="1034">
        <f>SUM(S201:AC201)</f>
        <v>6.43E-3</v>
      </c>
      <c r="S201" s="1034">
        <f>IF(E51&lt;=C196,C201,0)</f>
        <v>6.43E-3</v>
      </c>
      <c r="T201" s="1034">
        <f>IF(AND(E51&gt;C196,E51&lt;=D196),C201+(E51-C196)*(C201-D201)/(C196-D196),0)</f>
        <v>0</v>
      </c>
      <c r="U201" s="1034">
        <f>IF(AND(E51&gt;D196,E51&lt;=E196),D201+(E51-D196)*(D201-E201)/(D196-E196),0)</f>
        <v>0</v>
      </c>
      <c r="V201" s="1034">
        <f>IF(AND(E51&gt;E196,E51&lt;=F196),E201+(E51-E196)*(E201-F201)/(E196-F196),0)</f>
        <v>0</v>
      </c>
      <c r="W201" s="1034">
        <f>IF(AND(E51&gt;F196,E51&lt;=G196),F201+(E51-F196)*(F201-G201)/(F196-G196),0)</f>
        <v>0</v>
      </c>
      <c r="X201" s="1034">
        <f>IF(AND(E51&gt;G196,E51&lt;=H196),G201+(E51-G196)*(G201-H201)/(G196-H196),0)</f>
        <v>0</v>
      </c>
      <c r="Y201" s="1034">
        <f>IF(AND(E51&gt;H196,E51&lt;=N196),H201+(E51-H196)*(H201-N201)/(H196-N196),0)</f>
        <v>0</v>
      </c>
      <c r="Z201" s="1034">
        <f>IF(AND(E51&gt;N196,E51&lt;=O196),N201+(E51-N196)*(N201-O201)/(N196-O196),0)</f>
        <v>0</v>
      </c>
      <c r="AA201" s="1034">
        <f>IF(AND(E51&gt;O196,E51&lt;=P196),O201+(E51-O196)*(O201-P201)/(O196-P196),0)</f>
        <v>0</v>
      </c>
      <c r="AB201" s="1034">
        <f>IF(AND(E51&gt;P196,E51&lt;=Q196),P201+(E51-P196)*(P201-Q201)/(P196-Q196),0)</f>
        <v>0</v>
      </c>
      <c r="AC201" s="1034">
        <f>IF(E51&gt;=Q196,Q201,0)</f>
        <v>0</v>
      </c>
      <c r="AD201" s="1034"/>
      <c r="AE201" s="1015"/>
      <c r="AF201" s="1008"/>
      <c r="AG201" s="1008"/>
      <c r="AH201" s="1008"/>
    </row>
    <row r="202" spans="1:34" ht="12.75" x14ac:dyDescent="0.2">
      <c r="A202" s="1009"/>
      <c r="B202" s="1011"/>
      <c r="C202" s="1018"/>
      <c r="D202" s="1018"/>
      <c r="E202" s="1019"/>
      <c r="F202" s="1011"/>
      <c r="G202" s="1018"/>
      <c r="H202" s="1018"/>
      <c r="I202" s="1018"/>
      <c r="J202" s="1018"/>
      <c r="K202" s="1018"/>
      <c r="L202" s="1018"/>
      <c r="M202" s="1018"/>
      <c r="N202" s="1033"/>
      <c r="O202" s="1011"/>
      <c r="P202" s="1011"/>
      <c r="Q202" s="1011"/>
      <c r="R202" s="1011"/>
      <c r="S202" s="1034"/>
      <c r="T202" s="1034"/>
      <c r="U202" s="1034"/>
      <c r="V202" s="1034"/>
      <c r="W202" s="1034"/>
      <c r="X202" s="1034"/>
      <c r="Y202" s="1034"/>
      <c r="Z202" s="1034"/>
      <c r="AA202" s="1034"/>
      <c r="AB202" s="1034"/>
      <c r="AC202" s="1034"/>
      <c r="AD202" s="1034"/>
      <c r="AE202" s="1015"/>
      <c r="AF202" s="1008"/>
      <c r="AG202" s="1008"/>
      <c r="AH202" s="1008"/>
    </row>
    <row r="203" spans="1:34" ht="12.75" x14ac:dyDescent="0.2">
      <c r="A203" s="1009"/>
      <c r="B203" s="1011"/>
      <c r="C203" s="1032"/>
      <c r="D203" s="1032"/>
      <c r="E203" s="1019"/>
      <c r="F203" s="1032"/>
      <c r="G203" s="1032"/>
      <c r="H203" s="1032"/>
      <c r="I203" s="1032"/>
      <c r="J203" s="1032"/>
      <c r="K203" s="1032"/>
      <c r="L203" s="1032"/>
      <c r="M203" s="1032"/>
      <c r="N203" s="1033"/>
      <c r="O203" s="1032"/>
      <c r="P203" s="1032"/>
      <c r="Q203" s="1032"/>
      <c r="R203" s="1032"/>
      <c r="S203" s="1034"/>
      <c r="T203" s="1034"/>
      <c r="U203" s="1034"/>
      <c r="V203" s="1034"/>
      <c r="W203" s="1034"/>
      <c r="X203" s="1034"/>
      <c r="Y203" s="1034"/>
      <c r="Z203" s="1034"/>
      <c r="AA203" s="1034"/>
      <c r="AB203" s="1034"/>
      <c r="AC203" s="1034"/>
      <c r="AD203" s="1034"/>
      <c r="AE203" s="1015"/>
      <c r="AF203" s="1008"/>
      <c r="AG203" s="1008"/>
      <c r="AH203" s="1008"/>
    </row>
    <row r="204" spans="1:34" ht="15" x14ac:dyDescent="0.25">
      <c r="A204" s="1009" t="s">
        <v>587</v>
      </c>
      <c r="B204" s="1055" t="s">
        <v>1563</v>
      </c>
      <c r="C204" s="1056"/>
      <c r="D204" s="1056"/>
      <c r="E204" s="1057"/>
      <c r="F204" s="1056"/>
      <c r="G204" s="1056"/>
      <c r="H204" s="1056"/>
      <c r="I204" s="1056"/>
      <c r="J204" s="1056"/>
      <c r="K204" s="1056"/>
      <c r="L204" s="1056"/>
      <c r="M204" s="1056"/>
      <c r="N204" s="1058"/>
      <c r="O204" s="1056"/>
      <c r="P204" s="1059"/>
      <c r="Q204" s="1059"/>
      <c r="R204" s="1059"/>
      <c r="S204" s="1056"/>
      <c r="T204" s="1056"/>
      <c r="U204" s="1060"/>
      <c r="V204" s="1056"/>
      <c r="W204" s="1056"/>
      <c r="X204" s="1008"/>
      <c r="Y204" s="1008"/>
      <c r="Z204" s="1008"/>
      <c r="AA204" s="1008"/>
      <c r="AB204" s="1008"/>
      <c r="AC204" s="1008"/>
      <c r="AD204" s="1008"/>
      <c r="AE204" s="1061"/>
      <c r="AF204" s="1008"/>
      <c r="AG204" s="1008"/>
      <c r="AH204" s="1008"/>
    </row>
    <row r="205" spans="1:34" ht="75" x14ac:dyDescent="0.2">
      <c r="A205" s="1009"/>
      <c r="B205" s="1062" t="s">
        <v>1564</v>
      </c>
      <c r="C205" s="1063">
        <v>5</v>
      </c>
      <c r="D205" s="1064">
        <v>10</v>
      </c>
      <c r="E205" s="1065">
        <v>50</v>
      </c>
      <c r="F205" s="1064">
        <v>100</v>
      </c>
      <c r="G205" s="1064">
        <v>500</v>
      </c>
      <c r="H205" s="1066">
        <v>1000</v>
      </c>
      <c r="I205" s="1066"/>
      <c r="J205" s="1066"/>
      <c r="K205" s="1066"/>
      <c r="L205" s="1066"/>
      <c r="M205" s="1066"/>
      <c r="N205" s="1067">
        <v>10000</v>
      </c>
      <c r="O205" s="1068">
        <v>20000</v>
      </c>
      <c r="P205" s="1060"/>
      <c r="Q205" s="1060"/>
      <c r="R205" s="1069"/>
      <c r="S205" s="1008"/>
      <c r="T205" s="1008"/>
      <c r="U205" s="1060"/>
      <c r="V205" s="1008"/>
      <c r="W205" s="1008"/>
      <c r="X205" s="1008"/>
      <c r="Y205" s="1008"/>
      <c r="Z205" s="1008"/>
      <c r="AA205" s="1008"/>
      <c r="AB205" s="1008"/>
      <c r="AC205" s="1008"/>
      <c r="AD205" s="1008"/>
      <c r="AE205" s="1061"/>
      <c r="AF205" s="1008"/>
      <c r="AG205" s="1008"/>
      <c r="AH205" s="1008"/>
    </row>
    <row r="206" spans="1:34" ht="71.25" x14ac:dyDescent="0.2">
      <c r="A206" s="1009"/>
      <c r="B206" s="1065" t="s">
        <v>1565</v>
      </c>
      <c r="C206" s="1070">
        <v>3.2000000000000002E-3</v>
      </c>
      <c r="D206" s="1070">
        <v>2.0999999999999999E-3</v>
      </c>
      <c r="E206" s="1071">
        <v>1.6000000000000001E-3</v>
      </c>
      <c r="F206" s="1070">
        <v>1.2999999999999999E-3</v>
      </c>
      <c r="G206" s="1070">
        <v>5.9999999999999995E-4</v>
      </c>
      <c r="H206" s="1070">
        <v>4.0000000000000002E-4</v>
      </c>
      <c r="I206" s="1070"/>
      <c r="J206" s="1070"/>
      <c r="K206" s="1070"/>
      <c r="L206" s="1070"/>
      <c r="M206" s="1070"/>
      <c r="N206" s="1067">
        <v>1.2E-4</v>
      </c>
      <c r="O206" s="1070">
        <v>8.0000000000000007E-5</v>
      </c>
      <c r="P206" s="1072"/>
      <c r="Q206" s="1072"/>
      <c r="R206" s="1073" t="e">
        <f>SUM(S206:AA206)</f>
        <v>#REF!</v>
      </c>
      <c r="S206" s="1073" t="e">
        <f>IF(F51&lt;=C205,C206,0)</f>
        <v>#REF!</v>
      </c>
      <c r="T206" s="1073" t="e">
        <f>IF(AND(F51&gt;C205,F51&lt;=D205),C206+(F51-C205)*(C206-D206)/(C205-D205),0)</f>
        <v>#REF!</v>
      </c>
      <c r="U206" s="1073" t="e">
        <f>IF(AND(F51&gt;D205,F51&lt;=E205),D206+(F51-D205)*(D206-E206)/(D205-E205),0)</f>
        <v>#REF!</v>
      </c>
      <c r="V206" s="1073" t="e">
        <f>IF(AND(F51&gt;E205,F51&lt;=F205),E206+(F51-E205)*(E206-F206)/(E205-F205),0)</f>
        <v>#REF!</v>
      </c>
      <c r="W206" s="1073" t="e">
        <f>IF(AND(F51&gt;F205,F51&lt;=G205),F206+(F51-F205)*(F206-G206)/(F205-G205),0)</f>
        <v>#REF!</v>
      </c>
      <c r="X206" s="1073" t="e">
        <f>IF(AND(F51&gt;G205,F51&lt;=H205),G206+(F51-G205)*(G206-H206)/(G205-H205),0)</f>
        <v>#REF!</v>
      </c>
      <c r="Y206" s="1073" t="e">
        <f>IF(AND(F51&gt;H205,F51&lt;=N205),H206+(F51-H205)*(H206-N206)/(H205-N205),0)</f>
        <v>#REF!</v>
      </c>
      <c r="Z206" s="1073" t="e">
        <f>IF(AND(F51&gt;N205,F51&lt;=O205),N206+(F51-N205)*(N206-O206)/(N205-O205),0)</f>
        <v>#REF!</v>
      </c>
      <c r="AA206" s="1073" t="e">
        <f>IF(F51&gt;=O205,O206,0)</f>
        <v>#REF!</v>
      </c>
      <c r="AB206" s="1008"/>
      <c r="AC206" s="1008"/>
      <c r="AD206" s="1008"/>
      <c r="AE206" s="1061"/>
      <c r="AF206" s="1008"/>
      <c r="AG206" s="1008"/>
      <c r="AH206" s="1008"/>
    </row>
    <row r="207" spans="1:34" ht="42.75" x14ac:dyDescent="0.2">
      <c r="A207" s="1009"/>
      <c r="B207" s="1065" t="s">
        <v>1566</v>
      </c>
      <c r="C207" s="1070">
        <v>5.0000000000000001E-3</v>
      </c>
      <c r="D207" s="1070">
        <v>3.3999999999999998E-3</v>
      </c>
      <c r="E207" s="1071">
        <v>2.3999999999999998E-3</v>
      </c>
      <c r="F207" s="1070">
        <v>1.8E-3</v>
      </c>
      <c r="G207" s="1070">
        <v>1E-3</v>
      </c>
      <c r="H207" s="1070">
        <v>5.9999999999999995E-4</v>
      </c>
      <c r="I207" s="1070"/>
      <c r="J207" s="1070"/>
      <c r="K207" s="1070"/>
      <c r="L207" s="1070"/>
      <c r="M207" s="1070"/>
      <c r="N207" s="1067">
        <v>2.0000000000000001E-4</v>
      </c>
      <c r="O207" s="1070">
        <v>1.2E-4</v>
      </c>
      <c r="P207" s="1072"/>
      <c r="Q207" s="1072"/>
      <c r="R207" s="1073" t="e">
        <f>SUM(S207:AA207)</f>
        <v>#REF!</v>
      </c>
      <c r="S207" s="1073" t="e">
        <f>IF(F51&lt;=C205,C207,0)</f>
        <v>#REF!</v>
      </c>
      <c r="T207" s="1073" t="e">
        <f>IF(AND(F51&gt;C205,F51&lt;=D205),C207+(F51-C205)*(C207-D207)/(C205-D205),0)</f>
        <v>#REF!</v>
      </c>
      <c r="U207" s="1073" t="e">
        <f>IF(AND(F51&gt;D205,F51&lt;=E205),D207+(F51-D205)*(D207-E207)/(D205-E205),0)</f>
        <v>#REF!</v>
      </c>
      <c r="V207" s="1073" t="e">
        <f>IF(AND(F51&gt;E205,F51&lt;=F205),E207+(F51-E205)*(E207-F207)/(E205-F205),0)</f>
        <v>#REF!</v>
      </c>
      <c r="W207" s="1073" t="e">
        <f>IF(AND(F51&gt;F205,F51&lt;=G205),F207+(F51-F205)*(F207-G207)/(F205-G205),0)</f>
        <v>#REF!</v>
      </c>
      <c r="X207" s="1073" t="e">
        <f>IF(AND(F51&gt;G205,F51&lt;=H205),G207+(F51-G205)*(G207-H207)/(G205-H205),0)</f>
        <v>#REF!</v>
      </c>
      <c r="Y207" s="1073" t="e">
        <f>IF(AND(F51&gt;H205,F51&lt;=N205),H207+(F51-H205)*(H207-N207)/(H205-N205),0)</f>
        <v>#REF!</v>
      </c>
      <c r="Z207" s="1073" t="e">
        <f>IF(AND(F51&gt;N205,F51&lt;=O205),N207+(F51-N205)*(N207-O207)/(N205-O205),0)</f>
        <v>#REF!</v>
      </c>
      <c r="AA207" s="1073" t="e">
        <f>IF(F51&gt;=O205,O207,0)</f>
        <v>#REF!</v>
      </c>
      <c r="AB207" s="1008"/>
      <c r="AC207" s="1008"/>
      <c r="AD207" s="1008"/>
      <c r="AE207" s="1061"/>
      <c r="AF207" s="1008"/>
      <c r="AG207" s="1008"/>
      <c r="AH207" s="1008"/>
    </row>
    <row r="208" spans="1:34" ht="11.25" x14ac:dyDescent="0.25">
      <c r="A208" s="1003"/>
      <c r="B208" s="1004"/>
      <c r="C208" s="1005"/>
      <c r="D208" s="1004"/>
      <c r="E208" s="1005"/>
      <c r="F208" s="1006"/>
      <c r="G208" s="1006"/>
      <c r="H208" s="1006"/>
      <c r="I208" s="1006"/>
      <c r="J208" s="1006"/>
      <c r="K208" s="1006"/>
      <c r="L208" s="1006"/>
      <c r="M208" s="1006"/>
      <c r="N208" s="1007"/>
      <c r="O208" s="1008"/>
      <c r="P208" s="1008"/>
      <c r="Q208" s="1008"/>
      <c r="R208" s="1008"/>
      <c r="S208" s="1008"/>
      <c r="T208" s="1008"/>
      <c r="U208" s="1008"/>
      <c r="V208" s="1008"/>
      <c r="W208" s="1008"/>
      <c r="X208" s="1008"/>
      <c r="Y208" s="1008"/>
      <c r="Z208" s="1008"/>
      <c r="AA208" s="1008"/>
      <c r="AB208" s="1008"/>
      <c r="AC208" s="1008"/>
      <c r="AD208" s="1008"/>
      <c r="AE208" s="1004"/>
      <c r="AF208" s="1008"/>
      <c r="AG208" s="1008"/>
      <c r="AH208" s="1008"/>
    </row>
    <row r="209" spans="1:34" ht="15" x14ac:dyDescent="0.25">
      <c r="A209" s="1009" t="s">
        <v>587</v>
      </c>
      <c r="B209" s="1055" t="s">
        <v>1567</v>
      </c>
      <c r="C209" s="1056"/>
      <c r="D209" s="1056"/>
      <c r="E209" s="1057"/>
      <c r="F209" s="1056"/>
      <c r="G209" s="1056"/>
      <c r="H209" s="1056"/>
      <c r="I209" s="1056"/>
      <c r="J209" s="1056"/>
      <c r="K209" s="1056"/>
      <c r="L209" s="1056"/>
      <c r="M209" s="1056"/>
      <c r="N209" s="1058"/>
      <c r="O209" s="1056"/>
      <c r="P209" s="1059"/>
      <c r="Q209" s="1059"/>
      <c r="R209" s="1059"/>
      <c r="S209" s="1056"/>
      <c r="T209" s="1056"/>
      <c r="U209" s="1060"/>
      <c r="V209" s="1056"/>
      <c r="W209" s="1056"/>
      <c r="X209" s="1008"/>
      <c r="Y209" s="1008"/>
      <c r="Z209" s="1008"/>
      <c r="AA209" s="1008"/>
      <c r="AB209" s="1008"/>
      <c r="AC209" s="1008"/>
      <c r="AD209" s="1008"/>
      <c r="AE209" s="1061"/>
      <c r="AF209" s="1008"/>
      <c r="AG209" s="1008"/>
      <c r="AH209" s="1008"/>
    </row>
    <row r="210" spans="1:34" ht="75" x14ac:dyDescent="0.2">
      <c r="A210" s="1009"/>
      <c r="B210" s="1062" t="s">
        <v>1564</v>
      </c>
      <c r="C210" s="1063">
        <v>5</v>
      </c>
      <c r="D210" s="1064">
        <v>10</v>
      </c>
      <c r="E210" s="1065">
        <v>50</v>
      </c>
      <c r="F210" s="1064">
        <v>100</v>
      </c>
      <c r="G210" s="1064">
        <v>500</v>
      </c>
      <c r="H210" s="1066">
        <v>1000</v>
      </c>
      <c r="I210" s="1066"/>
      <c r="J210" s="1066"/>
      <c r="K210" s="1066"/>
      <c r="L210" s="1066"/>
      <c r="M210" s="1066"/>
      <c r="N210" s="1067">
        <v>10000</v>
      </c>
      <c r="O210" s="1068">
        <v>20000</v>
      </c>
      <c r="P210" s="1060"/>
      <c r="Q210" s="1060"/>
      <c r="R210" s="1069"/>
      <c r="S210" s="1008"/>
      <c r="T210" s="1008"/>
      <c r="U210" s="1060"/>
      <c r="V210" s="1008"/>
      <c r="W210" s="1008"/>
      <c r="X210" s="1008"/>
      <c r="Y210" s="1008"/>
      <c r="Z210" s="1008"/>
      <c r="AA210" s="1008"/>
      <c r="AB210" s="1008"/>
      <c r="AC210" s="1008"/>
      <c r="AD210" s="1008"/>
      <c r="AE210" s="1061"/>
      <c r="AF210" s="1008"/>
      <c r="AG210" s="1008"/>
      <c r="AH210" s="1008"/>
    </row>
    <row r="211" spans="1:34" ht="71.25" x14ac:dyDescent="0.2">
      <c r="A211" s="1009"/>
      <c r="B211" s="1065" t="s">
        <v>1565</v>
      </c>
      <c r="C211" s="1070">
        <v>3.8E-3</v>
      </c>
      <c r="D211" s="1070">
        <v>2.5999999999999999E-3</v>
      </c>
      <c r="E211" s="1071">
        <v>1.9E-3</v>
      </c>
      <c r="F211" s="1070">
        <v>1.5E-3</v>
      </c>
      <c r="G211" s="1070">
        <v>8.9999999999999998E-4</v>
      </c>
      <c r="H211" s="1070">
        <v>5.9999999999999995E-4</v>
      </c>
      <c r="I211" s="1070"/>
      <c r="J211" s="1070"/>
      <c r="K211" s="1070"/>
      <c r="L211" s="1070"/>
      <c r="M211" s="1070"/>
      <c r="N211" s="1067">
        <v>3.2000000000000003E-4</v>
      </c>
      <c r="O211" s="1070">
        <v>8.0000000000000007E-5</v>
      </c>
      <c r="P211" s="1072"/>
      <c r="Q211" s="1072"/>
      <c r="R211" s="1073" t="e">
        <f>SUM(S211:AA211)</f>
        <v>#REF!</v>
      </c>
      <c r="S211" s="1073" t="e">
        <f>IF(F51&lt;=C205,C211,0)</f>
        <v>#REF!</v>
      </c>
      <c r="T211" s="1073" t="e">
        <f>IF(AND(F51&gt;C205,F51&lt;=D205),C211+(F51-C205)*(C211-D211)/(C205-D205),0)</f>
        <v>#REF!</v>
      </c>
      <c r="U211" s="1073" t="e">
        <f>IF(AND(F51&gt;D205,F51&lt;=E205),D211+(F51-D205)*(D211-E211)/(D205-E205),0)</f>
        <v>#REF!</v>
      </c>
      <c r="V211" s="1073" t="e">
        <f>IF(AND(F51&gt;E205,F51&lt;=F205),E211+(F51-E205)*(E211-F211)/(E205-F205),0)</f>
        <v>#REF!</v>
      </c>
      <c r="W211" s="1073" t="e">
        <f>IF(AND(F51&gt;F205,F51&lt;=G205),F211+(F51-F205)*(F211-G211)/(F205-G205),0)</f>
        <v>#REF!</v>
      </c>
      <c r="X211" s="1073" t="e">
        <f>IF(AND(F51&gt;G205,F51&lt;=H205),G211+(F51-G205)*(G211-H211)/(G205-H205),0)</f>
        <v>#REF!</v>
      </c>
      <c r="Y211" s="1073" t="e">
        <f>IF(AND(F51&gt;H205,F51&lt;=N205),H211+(F51-H205)*(H211-N211)/(H205-N205),0)</f>
        <v>#REF!</v>
      </c>
      <c r="Z211" s="1073" t="e">
        <f>IF(AND(F51&gt;N205,F51&lt;=O205),N211+(F51-N205)*(N211-O211)/(N205-O205),0)</f>
        <v>#REF!</v>
      </c>
      <c r="AA211" s="1073" t="e">
        <f>IF(F51&gt;=O205,O211,0)</f>
        <v>#REF!</v>
      </c>
      <c r="AB211" s="1008"/>
      <c r="AC211" s="1008"/>
      <c r="AD211" s="1008"/>
      <c r="AE211" s="1061"/>
      <c r="AF211" s="1008"/>
      <c r="AG211" s="1008"/>
      <c r="AH211" s="1008"/>
    </row>
    <row r="212" spans="1:34" ht="42.75" x14ac:dyDescent="0.2">
      <c r="A212" s="1009"/>
      <c r="B212" s="1065" t="s">
        <v>1566</v>
      </c>
      <c r="C212" s="1070">
        <v>6.4000000000000003E-3</v>
      </c>
      <c r="D212" s="1070">
        <v>4.3E-3</v>
      </c>
      <c r="E212" s="1071">
        <v>3.0000000000000001E-3</v>
      </c>
      <c r="F212" s="1070">
        <v>2.3E-3</v>
      </c>
      <c r="G212" s="1070">
        <v>1.2999999999999999E-3</v>
      </c>
      <c r="H212" s="1070">
        <v>8.5999999999999998E-4</v>
      </c>
      <c r="I212" s="1070"/>
      <c r="J212" s="1070"/>
      <c r="K212" s="1070"/>
      <c r="L212" s="1070"/>
      <c r="M212" s="1070"/>
      <c r="N212" s="1067">
        <v>4.6000000000000001E-4</v>
      </c>
      <c r="O212" s="1070">
        <v>1.2E-4</v>
      </c>
      <c r="P212" s="1072"/>
      <c r="Q212" s="1072"/>
      <c r="R212" s="1073" t="e">
        <f>SUM(S212:AA212)</f>
        <v>#REF!</v>
      </c>
      <c r="S212" s="1073" t="e">
        <f>IF(F51&lt;=C205,C212,0)</f>
        <v>#REF!</v>
      </c>
      <c r="T212" s="1073" t="e">
        <f>IF(AND(F51&gt;C205,F51&lt;=D205),C212+(F51-C205)*(C212-D212)/(C205-D205),0)</f>
        <v>#REF!</v>
      </c>
      <c r="U212" s="1073" t="e">
        <f>IF(AND(F51&gt;D205,F51&lt;=E205),D212+(F51-D205)*(D212-E212)/(D205-E205),0)</f>
        <v>#REF!</v>
      </c>
      <c r="V212" s="1073" t="e">
        <f>IF(AND(F51&gt;E205,F51&lt;=F205),E212+(F51-E205)*(E212-F212)/(E205-F205),0)</f>
        <v>#REF!</v>
      </c>
      <c r="W212" s="1073" t="e">
        <f>IF(AND(F51&gt;F205,F51&lt;=G205),F212+(F51-F205)*(F212-G212)/(F205-G205),0)</f>
        <v>#REF!</v>
      </c>
      <c r="X212" s="1073" t="e">
        <f>IF(AND(F51&gt;G205,F51&lt;=H205),G212+(F51-G205)*(G212-H212)/(G205-H205),0)</f>
        <v>#REF!</v>
      </c>
      <c r="Y212" s="1073" t="e">
        <f>IF(AND(F51&gt;H205,F51&lt;=N205),H212+(F51-H205)*(H212-N212)/(H205-N205),0)</f>
        <v>#REF!</v>
      </c>
      <c r="Z212" s="1073" t="e">
        <f>IF(AND(F51&gt;N205,F51&lt;=O205),N212+(F51-N205)*(N212-O212)/(N205-O205),0)</f>
        <v>#REF!</v>
      </c>
      <c r="AA212" s="1073" t="e">
        <f>IF(F51&gt;=O205,O212,0)</f>
        <v>#REF!</v>
      </c>
      <c r="AB212" s="1008"/>
      <c r="AC212" s="1008"/>
      <c r="AD212" s="1008"/>
      <c r="AE212" s="1061"/>
      <c r="AF212" s="1008"/>
      <c r="AG212" s="1008"/>
      <c r="AH212" s="1008"/>
    </row>
    <row r="213" spans="1:34" x14ac:dyDescent="0.25">
      <c r="A213" s="1008"/>
      <c r="B213" s="1074"/>
      <c r="C213" s="1075"/>
      <c r="D213" s="1074"/>
      <c r="E213" s="1075"/>
      <c r="F213" s="1076"/>
      <c r="G213" s="1076"/>
      <c r="H213" s="1076"/>
      <c r="I213" s="1076"/>
      <c r="J213" s="1076"/>
      <c r="K213" s="1076"/>
      <c r="L213" s="1076"/>
      <c r="M213" s="1076"/>
      <c r="N213" s="1007"/>
      <c r="O213" s="1008"/>
      <c r="P213" s="1008"/>
      <c r="Q213" s="1008"/>
      <c r="R213" s="1008"/>
      <c r="S213" s="1008"/>
      <c r="T213" s="1008"/>
      <c r="U213" s="1008"/>
      <c r="V213" s="1008"/>
      <c r="W213" s="1008"/>
      <c r="X213" s="1008"/>
      <c r="Y213" s="1008"/>
      <c r="Z213" s="1008"/>
      <c r="AA213" s="1008"/>
      <c r="AB213" s="1008"/>
      <c r="AC213" s="1008"/>
      <c r="AD213" s="1008"/>
      <c r="AE213" s="1008"/>
      <c r="AF213" s="1008"/>
      <c r="AG213" s="1008"/>
      <c r="AH213" s="1008"/>
    </row>
    <row r="214" spans="1:34" ht="15" x14ac:dyDescent="0.25">
      <c r="A214" s="1008"/>
      <c r="B214" s="1055" t="s">
        <v>1568</v>
      </c>
      <c r="C214" s="1056"/>
      <c r="D214" s="1056"/>
      <c r="E214" s="1057"/>
      <c r="F214" s="1056"/>
      <c r="G214" s="1056"/>
      <c r="H214" s="1056"/>
      <c r="I214" s="1056"/>
      <c r="J214" s="1056"/>
      <c r="K214" s="1056"/>
      <c r="L214" s="1056"/>
      <c r="M214" s="1056"/>
      <c r="N214" s="1058"/>
      <c r="O214" s="1056"/>
      <c r="P214" s="1059"/>
      <c r="Q214" s="1059"/>
      <c r="R214" s="1059"/>
      <c r="S214" s="1056"/>
      <c r="T214" s="1056"/>
      <c r="U214" s="1060"/>
      <c r="V214" s="1056"/>
      <c r="W214" s="1056"/>
      <c r="X214" s="1008"/>
      <c r="Y214" s="1008"/>
      <c r="Z214" s="1008"/>
      <c r="AA214" s="1008"/>
      <c r="AB214" s="1008"/>
      <c r="AC214" s="1008"/>
      <c r="AD214" s="1008"/>
      <c r="AE214" s="1008"/>
      <c r="AF214" s="1008"/>
      <c r="AG214" s="1008"/>
      <c r="AH214" s="1008"/>
    </row>
    <row r="215" spans="1:34" ht="75" x14ac:dyDescent="0.2">
      <c r="A215" s="1008"/>
      <c r="B215" s="1062" t="s">
        <v>1564</v>
      </c>
      <c r="C215" s="1063">
        <v>15</v>
      </c>
      <c r="D215" s="1064">
        <v>25</v>
      </c>
      <c r="E215" s="1065">
        <v>50</v>
      </c>
      <c r="F215" s="1064">
        <v>100</v>
      </c>
      <c r="G215" s="1064">
        <v>200</v>
      </c>
      <c r="H215" s="1066">
        <v>500</v>
      </c>
      <c r="I215" s="1066"/>
      <c r="J215" s="1066"/>
      <c r="K215" s="1066"/>
      <c r="L215" s="1066"/>
      <c r="M215" s="1066"/>
      <c r="N215" s="1067">
        <v>1000</v>
      </c>
      <c r="O215" s="1066">
        <v>2000</v>
      </c>
      <c r="P215" s="1066">
        <v>5000</v>
      </c>
      <c r="Q215" s="1068">
        <v>10000</v>
      </c>
      <c r="R215" s="1069"/>
      <c r="S215" s="1008"/>
      <c r="T215" s="1008"/>
      <c r="U215" s="1060"/>
      <c r="V215" s="1008"/>
      <c r="W215" s="1008"/>
      <c r="X215" s="1008"/>
      <c r="Y215" s="1008"/>
      <c r="Z215" s="1008"/>
      <c r="AA215" s="1008"/>
      <c r="AB215" s="1008"/>
      <c r="AC215" s="1008"/>
      <c r="AD215" s="1008"/>
      <c r="AE215" s="1008"/>
      <c r="AF215" s="1008"/>
      <c r="AG215" s="1008"/>
      <c r="AH215" s="1008"/>
    </row>
    <row r="216" spans="1:34" ht="71.25" x14ac:dyDescent="0.25">
      <c r="A216" s="1008"/>
      <c r="B216" s="1065" t="s">
        <v>1565</v>
      </c>
      <c r="C216" s="1070">
        <v>1.9000000000000001E-4</v>
      </c>
      <c r="D216" s="1070">
        <v>1.7000000000000001E-4</v>
      </c>
      <c r="E216" s="1071">
        <v>1.4999999999999999E-4</v>
      </c>
      <c r="F216" s="1077">
        <v>1.25E-4</v>
      </c>
      <c r="G216" s="1070">
        <v>1E-4</v>
      </c>
      <c r="H216" s="1077">
        <v>7.4999999999999993E-5</v>
      </c>
      <c r="I216" s="1077"/>
      <c r="J216" s="1077"/>
      <c r="K216" s="1077"/>
      <c r="L216" s="1077"/>
      <c r="M216" s="1077"/>
      <c r="N216" s="1067">
        <v>4.6999999999999997E-5</v>
      </c>
      <c r="O216" s="1077">
        <v>2.5000000000000001E-5</v>
      </c>
      <c r="P216" s="1077">
        <v>2.0000000000000002E-5</v>
      </c>
      <c r="Q216" s="1077">
        <v>1.0000000000000001E-5</v>
      </c>
      <c r="R216" s="1073" t="e">
        <f>SUM(S216:AB216)</f>
        <v>#REF!</v>
      </c>
      <c r="S216" s="1073" t="e">
        <f>IF(F51&lt;=C215,C216,0)</f>
        <v>#REF!</v>
      </c>
      <c r="T216" s="1073" t="e">
        <f>IF(AND(F51&gt;C215,F51&lt;=D215),C216+(F51-C215)*(C216-D216)/(C215-D215),0)</f>
        <v>#REF!</v>
      </c>
      <c r="U216" s="1073" t="e">
        <f>IF(AND(F51&gt;D215,F56&lt;=E215),D216+(F51-D215)*(D216-E216)/(D215-E210),0)</f>
        <v>#REF!</v>
      </c>
      <c r="V216" s="1073" t="e">
        <f>IF(AND(F51&gt;E215,F51&lt;=F215),E216+(F56-E215)*(E216-F216)/(E215-F215),0)</f>
        <v>#REF!</v>
      </c>
      <c r="W216" s="1073" t="e">
        <f>IF(AND(F51&gt;F215,F56&lt;=G215),F216+(F51-F215)*(F216-G216)/(F215-G215),0)</f>
        <v>#REF!</v>
      </c>
      <c r="X216" s="1073" t="e">
        <f>IF(AND(F51&gt;G215,F56&lt;=H215),G216+(F51-G215)*(G216-H216)/(G215-H215),0)</f>
        <v>#REF!</v>
      </c>
      <c r="Y216" s="1073" t="e">
        <f>IF(AND(F51&gt;H215,F51&lt;=N215),H216+(F51-H215)*(H216-N216)/(H215-N215),0)</f>
        <v>#REF!</v>
      </c>
      <c r="Z216" s="1073" t="e">
        <f>IF(AND(F51&gt;N215,F51&lt;=O215),N216+(F51-N215)*(N216-O216)/(N215-O215),0)</f>
        <v>#REF!</v>
      </c>
      <c r="AA216" s="1073" t="e">
        <f>IF(AND(F51&gt;O215,F51&lt;=P215),O216+(F51-O215)*(O216-P216)/(O215-P215),0)</f>
        <v>#REF!</v>
      </c>
      <c r="AB216" s="1073">
        <f>IF(F721&gt;=Q215,Q216,0)</f>
        <v>0</v>
      </c>
      <c r="AC216" s="1008"/>
      <c r="AD216" s="1008"/>
      <c r="AE216" s="1008"/>
      <c r="AF216" s="1008"/>
      <c r="AG216" s="1008"/>
      <c r="AH216" s="1008"/>
    </row>
    <row r="217" spans="1:34" x14ac:dyDescent="0.25">
      <c r="A217" s="1008"/>
      <c r="B217" s="1074"/>
      <c r="C217" s="1075"/>
      <c r="D217" s="1074"/>
      <c r="E217" s="1075"/>
      <c r="F217" s="1076"/>
      <c r="G217" s="1076"/>
      <c r="H217" s="1076"/>
      <c r="I217" s="1076"/>
      <c r="J217" s="1076"/>
      <c r="K217" s="1076"/>
      <c r="L217" s="1076"/>
      <c r="M217" s="1076"/>
      <c r="N217" s="1007"/>
      <c r="O217" s="1008"/>
      <c r="P217" s="1008"/>
      <c r="Q217" s="1008"/>
      <c r="R217" s="1008"/>
      <c r="S217" s="1008"/>
      <c r="T217" s="1008"/>
      <c r="U217" s="1008"/>
      <c r="V217" s="1008"/>
      <c r="W217" s="1008"/>
      <c r="X217" s="1008"/>
      <c r="Y217" s="1008"/>
      <c r="Z217" s="1008"/>
      <c r="AA217" s="1008"/>
      <c r="AB217" s="1008"/>
      <c r="AC217" s="1008"/>
      <c r="AD217" s="1008"/>
      <c r="AE217" s="1008"/>
      <c r="AF217" s="1008"/>
      <c r="AG217" s="1008"/>
      <c r="AH217" s="1008"/>
    </row>
    <row r="218" spans="1:34" x14ac:dyDescent="0.25">
      <c r="A218" s="1008"/>
      <c r="B218" s="1074"/>
      <c r="C218" s="1075"/>
      <c r="D218" s="1074"/>
      <c r="E218" s="1075"/>
      <c r="F218" s="1076"/>
      <c r="G218" s="1076"/>
      <c r="H218" s="1076"/>
      <c r="I218" s="1076"/>
      <c r="J218" s="1076"/>
      <c r="K218" s="1076"/>
      <c r="L218" s="1076"/>
      <c r="M218" s="1076"/>
      <c r="N218" s="1007"/>
      <c r="O218" s="1008"/>
      <c r="P218" s="1008"/>
      <c r="Q218" s="1008"/>
      <c r="R218" s="1008"/>
      <c r="S218" s="1008"/>
      <c r="T218" s="1008"/>
      <c r="U218" s="1008"/>
      <c r="V218" s="1008"/>
      <c r="W218" s="1008"/>
      <c r="X218" s="1008"/>
      <c r="Y218" s="1008"/>
      <c r="Z218" s="1008"/>
      <c r="AA218" s="1008"/>
      <c r="AB218" s="1008"/>
      <c r="AC218" s="1008"/>
      <c r="AD218" s="1008"/>
      <c r="AE218" s="1008"/>
      <c r="AF218" s="1008"/>
      <c r="AG218" s="1008"/>
      <c r="AH218" s="1008"/>
    </row>
    <row r="219" spans="1:34" x14ac:dyDescent="0.25">
      <c r="A219" s="1008"/>
      <c r="B219" s="1074"/>
      <c r="C219" s="1075"/>
      <c r="D219" s="1074"/>
      <c r="E219" s="1075"/>
      <c r="F219" s="1076"/>
      <c r="G219" s="1076"/>
      <c r="H219" s="1076"/>
      <c r="I219" s="1076"/>
      <c r="J219" s="1076"/>
      <c r="K219" s="1076"/>
      <c r="L219" s="1076"/>
      <c r="M219" s="1076"/>
      <c r="N219" s="1007"/>
      <c r="O219" s="1008"/>
      <c r="P219" s="1008"/>
      <c r="Q219" s="1008"/>
      <c r="R219" s="1008"/>
      <c r="S219" s="1008"/>
      <c r="T219" s="1008"/>
      <c r="U219" s="1008"/>
      <c r="V219" s="1008"/>
      <c r="W219" s="1008"/>
      <c r="X219" s="1008"/>
      <c r="Y219" s="1008"/>
      <c r="Z219" s="1008"/>
      <c r="AA219" s="1008"/>
      <c r="AB219" s="1008"/>
      <c r="AC219" s="1008"/>
      <c r="AD219" s="1008"/>
      <c r="AE219" s="1008"/>
      <c r="AF219" s="1008"/>
      <c r="AG219" s="1008"/>
      <c r="AH219" s="1008"/>
    </row>
  </sheetData>
  <mergeCells count="44">
    <mergeCell ref="B194:R194"/>
    <mergeCell ref="B195:B196"/>
    <mergeCell ref="B167:R167"/>
    <mergeCell ref="B168:B169"/>
    <mergeCell ref="B176:R176"/>
    <mergeCell ref="B177:B178"/>
    <mergeCell ref="B185:R185"/>
    <mergeCell ref="B186:B187"/>
    <mergeCell ref="B159:B160"/>
    <mergeCell ref="B65:T65"/>
    <mergeCell ref="B66:B67"/>
    <mergeCell ref="B75:F75"/>
    <mergeCell ref="B76:B77"/>
    <mergeCell ref="B85:U85"/>
    <mergeCell ref="B87:B88"/>
    <mergeCell ref="C87:R87"/>
    <mergeCell ref="T87:T88"/>
    <mergeCell ref="U87:U88"/>
    <mergeCell ref="B140:R140"/>
    <mergeCell ref="B141:B142"/>
    <mergeCell ref="B149:R149"/>
    <mergeCell ref="B150:B151"/>
    <mergeCell ref="B158:R158"/>
    <mergeCell ref="B56:B57"/>
    <mergeCell ref="B15:H15"/>
    <mergeCell ref="B17:E17"/>
    <mergeCell ref="G18:H18"/>
    <mergeCell ref="B19:E19"/>
    <mergeCell ref="F19:H19"/>
    <mergeCell ref="B20:E20"/>
    <mergeCell ref="F20:H20"/>
    <mergeCell ref="B24:H24"/>
    <mergeCell ref="B25:H25"/>
    <mergeCell ref="A52:S52"/>
    <mergeCell ref="B53:T53"/>
    <mergeCell ref="B55:T55"/>
    <mergeCell ref="B1:K1"/>
    <mergeCell ref="B2:K2"/>
    <mergeCell ref="B4:B5"/>
    <mergeCell ref="C4:C5"/>
    <mergeCell ref="D4:D5"/>
    <mergeCell ref="E4:E5"/>
    <mergeCell ref="F4:H4"/>
    <mergeCell ref="I4:K4"/>
  </mergeCells>
  <dataValidations count="1">
    <dataValidation type="list" allowBlank="1" showInputMessage="1" showErrorMessage="1" sqref="WVX983047:WVX983048 WMB983047:WMB983048 WCF983047:WCF983048 VSJ983047:VSJ983048 VIN983047:VIN983048 UYR983047:UYR983048 UOV983047:UOV983048 UEZ983047:UEZ983048 TVD983047:TVD983048 TLH983047:TLH983048 TBL983047:TBL983048 SRP983047:SRP983048 SHT983047:SHT983048 RXX983047:RXX983048 ROB983047:ROB983048 REF983047:REF983048 QUJ983047:QUJ983048 QKN983047:QKN983048 QAR983047:QAR983048 PQV983047:PQV983048 PGZ983047:PGZ983048 OXD983047:OXD983048 ONH983047:ONH983048 ODL983047:ODL983048 NTP983047:NTP983048 NJT983047:NJT983048 MZX983047:MZX983048 MQB983047:MQB983048 MGF983047:MGF983048 LWJ983047:LWJ983048 LMN983047:LMN983048 LCR983047:LCR983048 KSV983047:KSV983048 KIZ983047:KIZ983048 JZD983047:JZD983048 JPH983047:JPH983048 JFL983047:JFL983048 IVP983047:IVP983048 ILT983047:ILT983048 IBX983047:IBX983048 HSB983047:HSB983048 HIF983047:HIF983048 GYJ983047:GYJ983048 GON983047:GON983048 GER983047:GER983048 FUV983047:FUV983048 FKZ983047:FKZ983048 FBD983047:FBD983048 ERH983047:ERH983048 EHL983047:EHL983048 DXP983047:DXP983048 DNT983047:DNT983048 DDX983047:DDX983048 CUB983047:CUB983048 CKF983047:CKF983048 CAJ983047:CAJ983048 BQN983047:BQN983048 BGR983047:BGR983048 AWV983047:AWV983048 AMZ983047:AMZ983048 ADD983047:ADD983048 TH983047:TH983048 JL983047:JL983048 P983047:P983048 WVX917511:WVX917512 WMB917511:WMB917512 WCF917511:WCF917512 VSJ917511:VSJ917512 VIN917511:VIN917512 UYR917511:UYR917512 UOV917511:UOV917512 UEZ917511:UEZ917512 TVD917511:TVD917512 TLH917511:TLH917512 TBL917511:TBL917512 SRP917511:SRP917512 SHT917511:SHT917512 RXX917511:RXX917512 ROB917511:ROB917512 REF917511:REF917512 QUJ917511:QUJ917512 QKN917511:QKN917512 QAR917511:QAR917512 PQV917511:PQV917512 PGZ917511:PGZ917512 OXD917511:OXD917512 ONH917511:ONH917512 ODL917511:ODL917512 NTP917511:NTP917512 NJT917511:NJT917512 MZX917511:MZX917512 MQB917511:MQB917512 MGF917511:MGF917512 LWJ917511:LWJ917512 LMN917511:LMN917512 LCR917511:LCR917512 KSV917511:KSV917512 KIZ917511:KIZ917512 JZD917511:JZD917512 JPH917511:JPH917512 JFL917511:JFL917512 IVP917511:IVP917512 ILT917511:ILT917512 IBX917511:IBX917512 HSB917511:HSB917512 HIF917511:HIF917512 GYJ917511:GYJ917512 GON917511:GON917512 GER917511:GER917512 FUV917511:FUV917512 FKZ917511:FKZ917512 FBD917511:FBD917512 ERH917511:ERH917512 EHL917511:EHL917512 DXP917511:DXP917512 DNT917511:DNT917512 DDX917511:DDX917512 CUB917511:CUB917512 CKF917511:CKF917512 CAJ917511:CAJ917512 BQN917511:BQN917512 BGR917511:BGR917512 AWV917511:AWV917512 AMZ917511:AMZ917512 ADD917511:ADD917512 TH917511:TH917512 JL917511:JL917512 P917511:P917512 WVX851975:WVX851976 WMB851975:WMB851976 WCF851975:WCF851976 VSJ851975:VSJ851976 VIN851975:VIN851976 UYR851975:UYR851976 UOV851975:UOV851976 UEZ851975:UEZ851976 TVD851975:TVD851976 TLH851975:TLH851976 TBL851975:TBL851976 SRP851975:SRP851976 SHT851975:SHT851976 RXX851975:RXX851976 ROB851975:ROB851976 REF851975:REF851976 QUJ851975:QUJ851976 QKN851975:QKN851976 QAR851975:QAR851976 PQV851975:PQV851976 PGZ851975:PGZ851976 OXD851975:OXD851976 ONH851975:ONH851976 ODL851975:ODL851976 NTP851975:NTP851976 NJT851975:NJT851976 MZX851975:MZX851976 MQB851975:MQB851976 MGF851975:MGF851976 LWJ851975:LWJ851976 LMN851975:LMN851976 LCR851975:LCR851976 KSV851975:KSV851976 KIZ851975:KIZ851976 JZD851975:JZD851976 JPH851975:JPH851976 JFL851975:JFL851976 IVP851975:IVP851976 ILT851975:ILT851976 IBX851975:IBX851976 HSB851975:HSB851976 HIF851975:HIF851976 GYJ851975:GYJ851976 GON851975:GON851976 GER851975:GER851976 FUV851975:FUV851976 FKZ851975:FKZ851976 FBD851975:FBD851976 ERH851975:ERH851976 EHL851975:EHL851976 DXP851975:DXP851976 DNT851975:DNT851976 DDX851975:DDX851976 CUB851975:CUB851976 CKF851975:CKF851976 CAJ851975:CAJ851976 BQN851975:BQN851976 BGR851975:BGR851976 AWV851975:AWV851976 AMZ851975:AMZ851976 ADD851975:ADD851976 TH851975:TH851976 JL851975:JL851976 P851975:P851976 WVX786439:WVX786440 WMB786439:WMB786440 WCF786439:WCF786440 VSJ786439:VSJ786440 VIN786439:VIN786440 UYR786439:UYR786440 UOV786439:UOV786440 UEZ786439:UEZ786440 TVD786439:TVD786440 TLH786439:TLH786440 TBL786439:TBL786440 SRP786439:SRP786440 SHT786439:SHT786440 RXX786439:RXX786440 ROB786439:ROB786440 REF786439:REF786440 QUJ786439:QUJ786440 QKN786439:QKN786440 QAR786439:QAR786440 PQV786439:PQV786440 PGZ786439:PGZ786440 OXD786439:OXD786440 ONH786439:ONH786440 ODL786439:ODL786440 NTP786439:NTP786440 NJT786439:NJT786440 MZX786439:MZX786440 MQB786439:MQB786440 MGF786439:MGF786440 LWJ786439:LWJ786440 LMN786439:LMN786440 LCR786439:LCR786440 KSV786439:KSV786440 KIZ786439:KIZ786440 JZD786439:JZD786440 JPH786439:JPH786440 JFL786439:JFL786440 IVP786439:IVP786440 ILT786439:ILT786440 IBX786439:IBX786440 HSB786439:HSB786440 HIF786439:HIF786440 GYJ786439:GYJ786440 GON786439:GON786440 GER786439:GER786440 FUV786439:FUV786440 FKZ786439:FKZ786440 FBD786439:FBD786440 ERH786439:ERH786440 EHL786439:EHL786440 DXP786439:DXP786440 DNT786439:DNT786440 DDX786439:DDX786440 CUB786439:CUB786440 CKF786439:CKF786440 CAJ786439:CAJ786440 BQN786439:BQN786440 BGR786439:BGR786440 AWV786439:AWV786440 AMZ786439:AMZ786440 ADD786439:ADD786440 TH786439:TH786440 JL786439:JL786440 P786439:P786440 WVX720903:WVX720904 WMB720903:WMB720904 WCF720903:WCF720904 VSJ720903:VSJ720904 VIN720903:VIN720904 UYR720903:UYR720904 UOV720903:UOV720904 UEZ720903:UEZ720904 TVD720903:TVD720904 TLH720903:TLH720904 TBL720903:TBL720904 SRP720903:SRP720904 SHT720903:SHT720904 RXX720903:RXX720904 ROB720903:ROB720904 REF720903:REF720904 QUJ720903:QUJ720904 QKN720903:QKN720904 QAR720903:QAR720904 PQV720903:PQV720904 PGZ720903:PGZ720904 OXD720903:OXD720904 ONH720903:ONH720904 ODL720903:ODL720904 NTP720903:NTP720904 NJT720903:NJT720904 MZX720903:MZX720904 MQB720903:MQB720904 MGF720903:MGF720904 LWJ720903:LWJ720904 LMN720903:LMN720904 LCR720903:LCR720904 KSV720903:KSV720904 KIZ720903:KIZ720904 JZD720903:JZD720904 JPH720903:JPH720904 JFL720903:JFL720904 IVP720903:IVP720904 ILT720903:ILT720904 IBX720903:IBX720904 HSB720903:HSB720904 HIF720903:HIF720904 GYJ720903:GYJ720904 GON720903:GON720904 GER720903:GER720904 FUV720903:FUV720904 FKZ720903:FKZ720904 FBD720903:FBD720904 ERH720903:ERH720904 EHL720903:EHL720904 DXP720903:DXP720904 DNT720903:DNT720904 DDX720903:DDX720904 CUB720903:CUB720904 CKF720903:CKF720904 CAJ720903:CAJ720904 BQN720903:BQN720904 BGR720903:BGR720904 AWV720903:AWV720904 AMZ720903:AMZ720904 ADD720903:ADD720904 TH720903:TH720904 JL720903:JL720904 P720903:P720904 WVX655367:WVX655368 WMB655367:WMB655368 WCF655367:WCF655368 VSJ655367:VSJ655368 VIN655367:VIN655368 UYR655367:UYR655368 UOV655367:UOV655368 UEZ655367:UEZ655368 TVD655367:TVD655368 TLH655367:TLH655368 TBL655367:TBL655368 SRP655367:SRP655368 SHT655367:SHT655368 RXX655367:RXX655368 ROB655367:ROB655368 REF655367:REF655368 QUJ655367:QUJ655368 QKN655367:QKN655368 QAR655367:QAR655368 PQV655367:PQV655368 PGZ655367:PGZ655368 OXD655367:OXD655368 ONH655367:ONH655368 ODL655367:ODL655368 NTP655367:NTP655368 NJT655367:NJT655368 MZX655367:MZX655368 MQB655367:MQB655368 MGF655367:MGF655368 LWJ655367:LWJ655368 LMN655367:LMN655368 LCR655367:LCR655368 KSV655367:KSV655368 KIZ655367:KIZ655368 JZD655367:JZD655368 JPH655367:JPH655368 JFL655367:JFL655368 IVP655367:IVP655368 ILT655367:ILT655368 IBX655367:IBX655368 HSB655367:HSB655368 HIF655367:HIF655368 GYJ655367:GYJ655368 GON655367:GON655368 GER655367:GER655368 FUV655367:FUV655368 FKZ655367:FKZ655368 FBD655367:FBD655368 ERH655367:ERH655368 EHL655367:EHL655368 DXP655367:DXP655368 DNT655367:DNT655368 DDX655367:DDX655368 CUB655367:CUB655368 CKF655367:CKF655368 CAJ655367:CAJ655368 BQN655367:BQN655368 BGR655367:BGR655368 AWV655367:AWV655368 AMZ655367:AMZ655368 ADD655367:ADD655368 TH655367:TH655368 JL655367:JL655368 P655367:P655368 WVX589831:WVX589832 WMB589831:WMB589832 WCF589831:WCF589832 VSJ589831:VSJ589832 VIN589831:VIN589832 UYR589831:UYR589832 UOV589831:UOV589832 UEZ589831:UEZ589832 TVD589831:TVD589832 TLH589831:TLH589832 TBL589831:TBL589832 SRP589831:SRP589832 SHT589831:SHT589832 RXX589831:RXX589832 ROB589831:ROB589832 REF589831:REF589832 QUJ589831:QUJ589832 QKN589831:QKN589832 QAR589831:QAR589832 PQV589831:PQV589832 PGZ589831:PGZ589832 OXD589831:OXD589832 ONH589831:ONH589832 ODL589831:ODL589832 NTP589831:NTP589832 NJT589831:NJT589832 MZX589831:MZX589832 MQB589831:MQB589832 MGF589831:MGF589832 LWJ589831:LWJ589832 LMN589831:LMN589832 LCR589831:LCR589832 KSV589831:KSV589832 KIZ589831:KIZ589832 JZD589831:JZD589832 JPH589831:JPH589832 JFL589831:JFL589832 IVP589831:IVP589832 ILT589831:ILT589832 IBX589831:IBX589832 HSB589831:HSB589832 HIF589831:HIF589832 GYJ589831:GYJ589832 GON589831:GON589832 GER589831:GER589832 FUV589831:FUV589832 FKZ589831:FKZ589832 FBD589831:FBD589832 ERH589831:ERH589832 EHL589831:EHL589832 DXP589831:DXP589832 DNT589831:DNT589832 DDX589831:DDX589832 CUB589831:CUB589832 CKF589831:CKF589832 CAJ589831:CAJ589832 BQN589831:BQN589832 BGR589831:BGR589832 AWV589831:AWV589832 AMZ589831:AMZ589832 ADD589831:ADD589832 TH589831:TH589832 JL589831:JL589832 P589831:P589832 WVX524295:WVX524296 WMB524295:WMB524296 WCF524295:WCF524296 VSJ524295:VSJ524296 VIN524295:VIN524296 UYR524295:UYR524296 UOV524295:UOV524296 UEZ524295:UEZ524296 TVD524295:TVD524296 TLH524295:TLH524296 TBL524295:TBL524296 SRP524295:SRP524296 SHT524295:SHT524296 RXX524295:RXX524296 ROB524295:ROB524296 REF524295:REF524296 QUJ524295:QUJ524296 QKN524295:QKN524296 QAR524295:QAR524296 PQV524295:PQV524296 PGZ524295:PGZ524296 OXD524295:OXD524296 ONH524295:ONH524296 ODL524295:ODL524296 NTP524295:NTP524296 NJT524295:NJT524296 MZX524295:MZX524296 MQB524295:MQB524296 MGF524295:MGF524296 LWJ524295:LWJ524296 LMN524295:LMN524296 LCR524295:LCR524296 KSV524295:KSV524296 KIZ524295:KIZ524296 JZD524295:JZD524296 JPH524295:JPH524296 JFL524295:JFL524296 IVP524295:IVP524296 ILT524295:ILT524296 IBX524295:IBX524296 HSB524295:HSB524296 HIF524295:HIF524296 GYJ524295:GYJ524296 GON524295:GON524296 GER524295:GER524296 FUV524295:FUV524296 FKZ524295:FKZ524296 FBD524295:FBD524296 ERH524295:ERH524296 EHL524295:EHL524296 DXP524295:DXP524296 DNT524295:DNT524296 DDX524295:DDX524296 CUB524295:CUB524296 CKF524295:CKF524296 CAJ524295:CAJ524296 BQN524295:BQN524296 BGR524295:BGR524296 AWV524295:AWV524296 AMZ524295:AMZ524296 ADD524295:ADD524296 TH524295:TH524296 JL524295:JL524296 P524295:P524296 WVX458759:WVX458760 WMB458759:WMB458760 WCF458759:WCF458760 VSJ458759:VSJ458760 VIN458759:VIN458760 UYR458759:UYR458760 UOV458759:UOV458760 UEZ458759:UEZ458760 TVD458759:TVD458760 TLH458759:TLH458760 TBL458759:TBL458760 SRP458759:SRP458760 SHT458759:SHT458760 RXX458759:RXX458760 ROB458759:ROB458760 REF458759:REF458760 QUJ458759:QUJ458760 QKN458759:QKN458760 QAR458759:QAR458760 PQV458759:PQV458760 PGZ458759:PGZ458760 OXD458759:OXD458760 ONH458759:ONH458760 ODL458759:ODL458760 NTP458759:NTP458760 NJT458759:NJT458760 MZX458759:MZX458760 MQB458759:MQB458760 MGF458759:MGF458760 LWJ458759:LWJ458760 LMN458759:LMN458760 LCR458759:LCR458760 KSV458759:KSV458760 KIZ458759:KIZ458760 JZD458759:JZD458760 JPH458759:JPH458760 JFL458759:JFL458760 IVP458759:IVP458760 ILT458759:ILT458760 IBX458759:IBX458760 HSB458759:HSB458760 HIF458759:HIF458760 GYJ458759:GYJ458760 GON458759:GON458760 GER458759:GER458760 FUV458759:FUV458760 FKZ458759:FKZ458760 FBD458759:FBD458760 ERH458759:ERH458760 EHL458759:EHL458760 DXP458759:DXP458760 DNT458759:DNT458760 DDX458759:DDX458760 CUB458759:CUB458760 CKF458759:CKF458760 CAJ458759:CAJ458760 BQN458759:BQN458760 BGR458759:BGR458760 AWV458759:AWV458760 AMZ458759:AMZ458760 ADD458759:ADD458760 TH458759:TH458760 JL458759:JL458760 P458759:P458760 WVX393223:WVX393224 WMB393223:WMB393224 WCF393223:WCF393224 VSJ393223:VSJ393224 VIN393223:VIN393224 UYR393223:UYR393224 UOV393223:UOV393224 UEZ393223:UEZ393224 TVD393223:TVD393224 TLH393223:TLH393224 TBL393223:TBL393224 SRP393223:SRP393224 SHT393223:SHT393224 RXX393223:RXX393224 ROB393223:ROB393224 REF393223:REF393224 QUJ393223:QUJ393224 QKN393223:QKN393224 QAR393223:QAR393224 PQV393223:PQV393224 PGZ393223:PGZ393224 OXD393223:OXD393224 ONH393223:ONH393224 ODL393223:ODL393224 NTP393223:NTP393224 NJT393223:NJT393224 MZX393223:MZX393224 MQB393223:MQB393224 MGF393223:MGF393224 LWJ393223:LWJ393224 LMN393223:LMN393224 LCR393223:LCR393224 KSV393223:KSV393224 KIZ393223:KIZ393224 JZD393223:JZD393224 JPH393223:JPH393224 JFL393223:JFL393224 IVP393223:IVP393224 ILT393223:ILT393224 IBX393223:IBX393224 HSB393223:HSB393224 HIF393223:HIF393224 GYJ393223:GYJ393224 GON393223:GON393224 GER393223:GER393224 FUV393223:FUV393224 FKZ393223:FKZ393224 FBD393223:FBD393224 ERH393223:ERH393224 EHL393223:EHL393224 DXP393223:DXP393224 DNT393223:DNT393224 DDX393223:DDX393224 CUB393223:CUB393224 CKF393223:CKF393224 CAJ393223:CAJ393224 BQN393223:BQN393224 BGR393223:BGR393224 AWV393223:AWV393224 AMZ393223:AMZ393224 ADD393223:ADD393224 TH393223:TH393224 JL393223:JL393224 P393223:P393224 WVX327687:WVX327688 WMB327687:WMB327688 WCF327687:WCF327688 VSJ327687:VSJ327688 VIN327687:VIN327688 UYR327687:UYR327688 UOV327687:UOV327688 UEZ327687:UEZ327688 TVD327687:TVD327688 TLH327687:TLH327688 TBL327687:TBL327688 SRP327687:SRP327688 SHT327687:SHT327688 RXX327687:RXX327688 ROB327687:ROB327688 REF327687:REF327688 QUJ327687:QUJ327688 QKN327687:QKN327688 QAR327687:QAR327688 PQV327687:PQV327688 PGZ327687:PGZ327688 OXD327687:OXD327688 ONH327687:ONH327688 ODL327687:ODL327688 NTP327687:NTP327688 NJT327687:NJT327688 MZX327687:MZX327688 MQB327687:MQB327688 MGF327687:MGF327688 LWJ327687:LWJ327688 LMN327687:LMN327688 LCR327687:LCR327688 KSV327687:KSV327688 KIZ327687:KIZ327688 JZD327687:JZD327688 JPH327687:JPH327688 JFL327687:JFL327688 IVP327687:IVP327688 ILT327687:ILT327688 IBX327687:IBX327688 HSB327687:HSB327688 HIF327687:HIF327688 GYJ327687:GYJ327688 GON327687:GON327688 GER327687:GER327688 FUV327687:FUV327688 FKZ327687:FKZ327688 FBD327687:FBD327688 ERH327687:ERH327688 EHL327687:EHL327688 DXP327687:DXP327688 DNT327687:DNT327688 DDX327687:DDX327688 CUB327687:CUB327688 CKF327687:CKF327688 CAJ327687:CAJ327688 BQN327687:BQN327688 BGR327687:BGR327688 AWV327687:AWV327688 AMZ327687:AMZ327688 ADD327687:ADD327688 TH327687:TH327688 JL327687:JL327688 P327687:P327688 WVX262151:WVX262152 WMB262151:WMB262152 WCF262151:WCF262152 VSJ262151:VSJ262152 VIN262151:VIN262152 UYR262151:UYR262152 UOV262151:UOV262152 UEZ262151:UEZ262152 TVD262151:TVD262152 TLH262151:TLH262152 TBL262151:TBL262152 SRP262151:SRP262152 SHT262151:SHT262152 RXX262151:RXX262152 ROB262151:ROB262152 REF262151:REF262152 QUJ262151:QUJ262152 QKN262151:QKN262152 QAR262151:QAR262152 PQV262151:PQV262152 PGZ262151:PGZ262152 OXD262151:OXD262152 ONH262151:ONH262152 ODL262151:ODL262152 NTP262151:NTP262152 NJT262151:NJT262152 MZX262151:MZX262152 MQB262151:MQB262152 MGF262151:MGF262152 LWJ262151:LWJ262152 LMN262151:LMN262152 LCR262151:LCR262152 KSV262151:KSV262152 KIZ262151:KIZ262152 JZD262151:JZD262152 JPH262151:JPH262152 JFL262151:JFL262152 IVP262151:IVP262152 ILT262151:ILT262152 IBX262151:IBX262152 HSB262151:HSB262152 HIF262151:HIF262152 GYJ262151:GYJ262152 GON262151:GON262152 GER262151:GER262152 FUV262151:FUV262152 FKZ262151:FKZ262152 FBD262151:FBD262152 ERH262151:ERH262152 EHL262151:EHL262152 DXP262151:DXP262152 DNT262151:DNT262152 DDX262151:DDX262152 CUB262151:CUB262152 CKF262151:CKF262152 CAJ262151:CAJ262152 BQN262151:BQN262152 BGR262151:BGR262152 AWV262151:AWV262152 AMZ262151:AMZ262152 ADD262151:ADD262152 TH262151:TH262152 JL262151:JL262152 P262151:P262152 WVX196615:WVX196616 WMB196615:WMB196616 WCF196615:WCF196616 VSJ196615:VSJ196616 VIN196615:VIN196616 UYR196615:UYR196616 UOV196615:UOV196616 UEZ196615:UEZ196616 TVD196615:TVD196616 TLH196615:TLH196616 TBL196615:TBL196616 SRP196615:SRP196616 SHT196615:SHT196616 RXX196615:RXX196616 ROB196615:ROB196616 REF196615:REF196616 QUJ196615:QUJ196616 QKN196615:QKN196616 QAR196615:QAR196616 PQV196615:PQV196616 PGZ196615:PGZ196616 OXD196615:OXD196616 ONH196615:ONH196616 ODL196615:ODL196616 NTP196615:NTP196616 NJT196615:NJT196616 MZX196615:MZX196616 MQB196615:MQB196616 MGF196615:MGF196616 LWJ196615:LWJ196616 LMN196615:LMN196616 LCR196615:LCR196616 KSV196615:KSV196616 KIZ196615:KIZ196616 JZD196615:JZD196616 JPH196615:JPH196616 JFL196615:JFL196616 IVP196615:IVP196616 ILT196615:ILT196616 IBX196615:IBX196616 HSB196615:HSB196616 HIF196615:HIF196616 GYJ196615:GYJ196616 GON196615:GON196616 GER196615:GER196616 FUV196615:FUV196616 FKZ196615:FKZ196616 FBD196615:FBD196616 ERH196615:ERH196616 EHL196615:EHL196616 DXP196615:DXP196616 DNT196615:DNT196616 DDX196615:DDX196616 CUB196615:CUB196616 CKF196615:CKF196616 CAJ196615:CAJ196616 BQN196615:BQN196616 BGR196615:BGR196616 AWV196615:AWV196616 AMZ196615:AMZ196616 ADD196615:ADD196616 TH196615:TH196616 JL196615:JL196616 P196615:P196616 WVX131079:WVX131080 WMB131079:WMB131080 WCF131079:WCF131080 VSJ131079:VSJ131080 VIN131079:VIN131080 UYR131079:UYR131080 UOV131079:UOV131080 UEZ131079:UEZ131080 TVD131079:TVD131080 TLH131079:TLH131080 TBL131079:TBL131080 SRP131079:SRP131080 SHT131079:SHT131080 RXX131079:RXX131080 ROB131079:ROB131080 REF131079:REF131080 QUJ131079:QUJ131080 QKN131079:QKN131080 QAR131079:QAR131080 PQV131079:PQV131080 PGZ131079:PGZ131080 OXD131079:OXD131080 ONH131079:ONH131080 ODL131079:ODL131080 NTP131079:NTP131080 NJT131079:NJT131080 MZX131079:MZX131080 MQB131079:MQB131080 MGF131079:MGF131080 LWJ131079:LWJ131080 LMN131079:LMN131080 LCR131079:LCR131080 KSV131079:KSV131080 KIZ131079:KIZ131080 JZD131079:JZD131080 JPH131079:JPH131080 JFL131079:JFL131080 IVP131079:IVP131080 ILT131079:ILT131080 IBX131079:IBX131080 HSB131079:HSB131080 HIF131079:HIF131080 GYJ131079:GYJ131080 GON131079:GON131080 GER131079:GER131080 FUV131079:FUV131080 FKZ131079:FKZ131080 FBD131079:FBD131080 ERH131079:ERH131080 EHL131079:EHL131080 DXP131079:DXP131080 DNT131079:DNT131080 DDX131079:DDX131080 CUB131079:CUB131080 CKF131079:CKF131080 CAJ131079:CAJ131080 BQN131079:BQN131080 BGR131079:BGR131080 AWV131079:AWV131080 AMZ131079:AMZ131080 ADD131079:ADD131080 TH131079:TH131080 JL131079:JL131080 P131079:P131080 WVX65543:WVX65544 WMB65543:WMB65544 WCF65543:WCF65544 VSJ65543:VSJ65544 VIN65543:VIN65544 UYR65543:UYR65544 UOV65543:UOV65544 UEZ65543:UEZ65544 TVD65543:TVD65544 TLH65543:TLH65544 TBL65543:TBL65544 SRP65543:SRP65544 SHT65543:SHT65544 RXX65543:RXX65544 ROB65543:ROB65544 REF65543:REF65544 QUJ65543:QUJ65544 QKN65543:QKN65544 QAR65543:QAR65544 PQV65543:PQV65544 PGZ65543:PGZ65544 OXD65543:OXD65544 ONH65543:ONH65544 ODL65543:ODL65544 NTP65543:NTP65544 NJT65543:NJT65544 MZX65543:MZX65544 MQB65543:MQB65544 MGF65543:MGF65544 LWJ65543:LWJ65544 LMN65543:LMN65544 LCR65543:LCR65544 KSV65543:KSV65544 KIZ65543:KIZ65544 JZD65543:JZD65544 JPH65543:JPH65544 JFL65543:JFL65544 IVP65543:IVP65544 ILT65543:ILT65544 IBX65543:IBX65544 HSB65543:HSB65544 HIF65543:HIF65544 GYJ65543:GYJ65544 GON65543:GON65544 GER65543:GER65544 FUV65543:FUV65544 FKZ65543:FKZ65544 FBD65543:FBD65544 ERH65543:ERH65544 EHL65543:EHL65544 DXP65543:DXP65544 DNT65543:DNT65544 DDX65543:DDX65544 CUB65543:CUB65544 CKF65543:CKF65544 CAJ65543:CAJ65544 BQN65543:BQN65544 BGR65543:BGR65544 AWV65543:AWV65544 AMZ65543:AMZ65544 ADD65543:ADD65544 TH65543:TH65544 JL65543:JL65544 P65543:P65544" xr:uid="{BD200257-92A9-4478-B957-1572D728B1C0}">
      <formula1>#REF!</formula1>
    </dataValidation>
  </dataValidations>
  <pageMargins left="0.9" right="0.48" top="0.75" bottom="0.75" header="0.3" footer="0.3"/>
  <pageSetup paperSize="9" orientation="landscape"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indexed="45"/>
  </sheetPr>
  <dimension ref="A1:AA59"/>
  <sheetViews>
    <sheetView showZeros="0" workbookViewId="0">
      <selection activeCell="B13" sqref="B13:H13"/>
    </sheetView>
  </sheetViews>
  <sheetFormatPr defaultRowHeight="15" x14ac:dyDescent="0.25"/>
  <cols>
    <col min="1" max="1" width="4.85546875" customWidth="1"/>
    <col min="2" max="2" width="8.85546875" customWidth="1"/>
    <col min="3" max="3" width="29.140625" customWidth="1"/>
    <col min="4" max="4" width="7.140625" customWidth="1"/>
    <col min="5" max="5" width="10.85546875" customWidth="1"/>
    <col min="6" max="7" width="10.7109375" customWidth="1"/>
    <col min="8" max="8" width="12.7109375" customWidth="1"/>
    <col min="9" max="9" width="14.7109375" customWidth="1"/>
    <col min="10" max="10" width="12.28515625" customWidth="1"/>
    <col min="11" max="11" width="12.7109375" customWidth="1"/>
  </cols>
  <sheetData>
    <row r="1" spans="1:27" ht="17.649999999999999" customHeight="1" x14ac:dyDescent="0.25">
      <c r="A1" s="1186" t="s">
        <v>566</v>
      </c>
      <c r="B1" s="1187"/>
      <c r="C1" s="1187"/>
      <c r="D1" s="1187"/>
      <c r="E1" s="1187"/>
      <c r="F1" s="1187"/>
      <c r="G1" s="1187"/>
      <c r="H1" s="1187"/>
      <c r="I1" s="1187"/>
      <c r="J1" s="1187"/>
      <c r="K1" s="1187"/>
    </row>
    <row r="2" spans="1:27" ht="15" customHeight="1" x14ac:dyDescent="0.25">
      <c r="A2" s="1188" t="s">
        <v>197</v>
      </c>
      <c r="B2" s="1189"/>
      <c r="C2" s="1189"/>
      <c r="D2" s="1189"/>
      <c r="E2" s="1189"/>
      <c r="F2" s="1189"/>
      <c r="G2" s="1189"/>
      <c r="H2" s="1189"/>
      <c r="I2" s="1189"/>
      <c r="J2" s="1189"/>
      <c r="K2" s="1189"/>
    </row>
    <row r="3" spans="1:27" ht="15" customHeight="1" x14ac:dyDescent="0.25">
      <c r="A3" s="1188" t="s">
        <v>1409</v>
      </c>
      <c r="B3" s="1189"/>
      <c r="C3" s="1189"/>
      <c r="D3" s="1189"/>
      <c r="E3" s="1189"/>
      <c r="F3" s="1189"/>
      <c r="G3" s="1189"/>
      <c r="H3" s="1189"/>
      <c r="I3" s="1189"/>
      <c r="J3" s="1189"/>
      <c r="K3" s="1189"/>
    </row>
    <row r="4" spans="1:27" ht="15.4" customHeight="1" x14ac:dyDescent="0.25">
      <c r="A4" s="1190" t="s">
        <v>1323</v>
      </c>
      <c r="B4" s="1185" t="s">
        <v>876</v>
      </c>
      <c r="C4" s="1185" t="s">
        <v>1332</v>
      </c>
      <c r="D4" s="1185" t="s">
        <v>1448</v>
      </c>
      <c r="E4" s="1185" t="s">
        <v>207</v>
      </c>
      <c r="F4" s="1185" t="s">
        <v>1446</v>
      </c>
      <c r="G4" s="1185" t="s">
        <v>1313</v>
      </c>
      <c r="H4" s="1185" t="s">
        <v>1192</v>
      </c>
      <c r="I4" s="1191" t="s">
        <v>1017</v>
      </c>
      <c r="J4" s="1185" t="s">
        <v>83</v>
      </c>
      <c r="K4" s="1185"/>
      <c r="L4" s="600"/>
      <c r="M4" s="600"/>
      <c r="N4" s="600"/>
      <c r="O4" s="600"/>
      <c r="P4" s="600"/>
      <c r="Q4" s="600"/>
      <c r="R4" s="600"/>
      <c r="S4" s="600"/>
      <c r="T4" s="600"/>
      <c r="U4" s="600"/>
      <c r="V4" s="600"/>
      <c r="W4" s="600"/>
      <c r="X4" s="600"/>
      <c r="Y4" s="600"/>
      <c r="Z4" s="600"/>
      <c r="AA4" s="600"/>
    </row>
    <row r="5" spans="1:27" ht="32.450000000000003" customHeight="1" x14ac:dyDescent="0.25">
      <c r="A5" s="1190"/>
      <c r="B5" s="1185"/>
      <c r="C5" s="1185"/>
      <c r="D5" s="1185"/>
      <c r="E5" s="1185"/>
      <c r="F5" s="1185"/>
      <c r="G5" s="1185"/>
      <c r="H5" s="1185"/>
      <c r="I5" s="1192"/>
      <c r="J5" s="60" t="s">
        <v>452</v>
      </c>
      <c r="K5" s="60" t="s">
        <v>898</v>
      </c>
      <c r="L5" s="600"/>
      <c r="M5" s="600"/>
      <c r="N5" s="600"/>
      <c r="O5" s="600"/>
      <c r="P5" s="600"/>
      <c r="Q5" s="600"/>
      <c r="R5" s="600"/>
      <c r="S5" s="600"/>
      <c r="T5" s="600"/>
      <c r="U5" s="600"/>
      <c r="V5" s="600"/>
      <c r="W5" s="600"/>
      <c r="X5" s="600"/>
      <c r="Y5" s="600"/>
      <c r="Z5" s="600"/>
      <c r="AA5" s="600"/>
    </row>
    <row r="6" spans="1:27" ht="15" customHeight="1" x14ac:dyDescent="0.25">
      <c r="A6" s="598" t="s">
        <v>1232</v>
      </c>
      <c r="B6" s="374"/>
      <c r="C6" s="374" t="s">
        <v>81</v>
      </c>
      <c r="D6" s="374"/>
      <c r="E6" s="719"/>
      <c r="F6" s="344"/>
      <c r="G6" s="344"/>
      <c r="H6" s="344">
        <v>0</v>
      </c>
      <c r="I6" s="344">
        <f>ROUND(SUM(I7:I24),0)</f>
        <v>708365207</v>
      </c>
      <c r="J6" s="344"/>
      <c r="K6" s="344">
        <f>ROUND(SUM(K7:K24),0)</f>
        <v>271213472</v>
      </c>
      <c r="L6" s="600"/>
      <c r="M6" s="600"/>
      <c r="N6" s="600"/>
      <c r="O6" s="600"/>
      <c r="P6" s="600"/>
      <c r="Q6" s="600"/>
      <c r="R6" s="600"/>
      <c r="S6" s="600"/>
      <c r="T6" s="600"/>
      <c r="U6" s="600"/>
      <c r="V6" s="600"/>
      <c r="W6" s="600"/>
      <c r="X6" s="600"/>
      <c r="Y6" s="600"/>
      <c r="Z6" s="600"/>
      <c r="AA6" s="600"/>
    </row>
    <row r="7" spans="1:27" ht="15" customHeight="1" x14ac:dyDescent="0.25">
      <c r="A7" s="286">
        <v>1</v>
      </c>
      <c r="B7" s="169" t="s">
        <v>258</v>
      </c>
      <c r="C7" s="43" t="s">
        <v>1061</v>
      </c>
      <c r="D7" s="169" t="s">
        <v>28</v>
      </c>
      <c r="E7" s="237">
        <f>THVL!J6</f>
        <v>5</v>
      </c>
      <c r="F7" s="9">
        <f>'Giá VL'!G5</f>
        <v>1050000</v>
      </c>
      <c r="G7" s="9">
        <f>'Giá VL'!J5</f>
        <v>1050000</v>
      </c>
      <c r="H7" s="9">
        <f>'Giá VL'!V5</f>
        <v>1050000</v>
      </c>
      <c r="I7" s="9">
        <f t="shared" ref="I7:I23" si="0">E7*H7</f>
        <v>5250000</v>
      </c>
      <c r="J7" s="9">
        <f t="shared" ref="J7:J24" si="1">H7-F7</f>
        <v>0</v>
      </c>
      <c r="K7" s="9">
        <f t="shared" ref="K7:K23" si="2">H7*E7-F7*E7</f>
        <v>0</v>
      </c>
      <c r="L7" s="600"/>
      <c r="M7" s="600"/>
      <c r="N7" s="600"/>
      <c r="O7" s="600"/>
      <c r="P7" s="600"/>
      <c r="Q7" s="600"/>
      <c r="R7" s="600"/>
      <c r="S7" s="600"/>
      <c r="T7" s="600"/>
      <c r="U7" s="600"/>
      <c r="V7" s="600"/>
      <c r="W7" s="600"/>
      <c r="X7" s="600"/>
      <c r="Y7" s="600"/>
      <c r="Z7" s="600"/>
      <c r="AA7" s="600"/>
    </row>
    <row r="8" spans="1:27" ht="28.15" customHeight="1" x14ac:dyDescent="0.25">
      <c r="A8" s="286">
        <v>2</v>
      </c>
      <c r="B8" s="169" t="s">
        <v>172</v>
      </c>
      <c r="C8" s="43" t="s">
        <v>906</v>
      </c>
      <c r="D8" s="169" t="s">
        <v>1258</v>
      </c>
      <c r="E8" s="237">
        <f>THVL!J8</f>
        <v>1859.5</v>
      </c>
      <c r="F8" s="9">
        <v>5000</v>
      </c>
      <c r="G8" s="9">
        <v>5000</v>
      </c>
      <c r="H8" s="9">
        <v>5000</v>
      </c>
      <c r="I8" s="9">
        <f t="shared" si="0"/>
        <v>9297500</v>
      </c>
      <c r="J8" s="9">
        <f t="shared" si="1"/>
        <v>0</v>
      </c>
      <c r="K8" s="9">
        <f t="shared" si="2"/>
        <v>0</v>
      </c>
      <c r="L8" s="600"/>
      <c r="M8" s="600"/>
      <c r="N8" s="600"/>
      <c r="O8" s="600"/>
      <c r="P8" s="600"/>
      <c r="Q8" s="600"/>
      <c r="R8" s="600"/>
      <c r="S8" s="600"/>
      <c r="T8" s="600"/>
      <c r="U8" s="600"/>
      <c r="V8" s="600"/>
      <c r="W8" s="600"/>
      <c r="X8" s="600"/>
      <c r="Y8" s="600"/>
      <c r="Z8" s="600"/>
      <c r="AA8" s="600"/>
    </row>
    <row r="9" spans="1:27" ht="15" customHeight="1" x14ac:dyDescent="0.25">
      <c r="A9" s="286">
        <v>3</v>
      </c>
      <c r="B9" s="169" t="s">
        <v>172</v>
      </c>
      <c r="C9" s="43" t="s">
        <v>1003</v>
      </c>
      <c r="D9" s="169" t="s">
        <v>418</v>
      </c>
      <c r="E9" s="237">
        <f>THNC!J27</f>
        <v>2</v>
      </c>
      <c r="F9" s="9">
        <v>1000000</v>
      </c>
      <c r="G9" s="9">
        <v>1000000</v>
      </c>
      <c r="H9" s="9">
        <v>1000000</v>
      </c>
      <c r="I9" s="9">
        <f t="shared" si="0"/>
        <v>2000000</v>
      </c>
      <c r="J9" s="9">
        <f t="shared" si="1"/>
        <v>0</v>
      </c>
      <c r="K9" s="9">
        <f t="shared" si="2"/>
        <v>0</v>
      </c>
      <c r="L9" s="600"/>
      <c r="M9" s="600"/>
      <c r="N9" s="600"/>
      <c r="O9" s="600"/>
      <c r="P9" s="600"/>
      <c r="Q9" s="600"/>
      <c r="R9" s="600"/>
      <c r="S9" s="600"/>
      <c r="T9" s="600"/>
      <c r="U9" s="600"/>
      <c r="V9" s="600"/>
      <c r="W9" s="600"/>
      <c r="X9" s="600"/>
      <c r="Y9" s="600"/>
      <c r="Z9" s="600"/>
      <c r="AA9" s="600"/>
    </row>
    <row r="10" spans="1:27" ht="15" customHeight="1" x14ac:dyDescent="0.25">
      <c r="A10" s="286">
        <v>4</v>
      </c>
      <c r="B10" s="169" t="s">
        <v>1290</v>
      </c>
      <c r="C10" s="43" t="s">
        <v>1204</v>
      </c>
      <c r="D10" s="169" t="s">
        <v>144</v>
      </c>
      <c r="E10" s="237">
        <f>THVL!J12</f>
        <v>67</v>
      </c>
      <c r="F10" s="9">
        <f>'Giá VL'!G6</f>
        <v>220000</v>
      </c>
      <c r="G10" s="9">
        <f>'Giá VL'!J6</f>
        <v>250000</v>
      </c>
      <c r="H10" s="9">
        <f>'Giá VL'!V6</f>
        <v>396476.16578799998</v>
      </c>
      <c r="I10" s="9">
        <f t="shared" si="0"/>
        <v>26563903.107795998</v>
      </c>
      <c r="J10" s="9">
        <f t="shared" si="1"/>
        <v>176476.16578799998</v>
      </c>
      <c r="K10" s="9">
        <f t="shared" si="2"/>
        <v>11823903.107795998</v>
      </c>
      <c r="L10" s="600"/>
      <c r="M10" s="600"/>
      <c r="N10" s="600"/>
      <c r="O10" s="600"/>
      <c r="P10" s="600"/>
      <c r="Q10" s="600"/>
      <c r="R10" s="600"/>
      <c r="S10" s="600"/>
      <c r="T10" s="600"/>
      <c r="U10" s="600"/>
      <c r="V10" s="600"/>
      <c r="W10" s="600"/>
      <c r="X10" s="600"/>
      <c r="Y10" s="600"/>
      <c r="Z10" s="600"/>
      <c r="AA10" s="600"/>
    </row>
    <row r="11" spans="1:27" ht="15" customHeight="1" x14ac:dyDescent="0.25">
      <c r="A11" s="286">
        <v>5</v>
      </c>
      <c r="B11" s="169" t="s">
        <v>1290</v>
      </c>
      <c r="C11" s="43" t="s">
        <v>103</v>
      </c>
      <c r="D11" s="169" t="s">
        <v>144</v>
      </c>
      <c r="E11" s="237">
        <f>THVL!J14</f>
        <v>22.310999999999996</v>
      </c>
      <c r="F11" s="9">
        <f>'Giá VL'!G7</f>
        <v>250000</v>
      </c>
      <c r="G11" s="9">
        <f>'Giá VL'!J7</f>
        <v>250000</v>
      </c>
      <c r="H11" s="9">
        <f>'Giá VL'!V7</f>
        <v>396476.16578799998</v>
      </c>
      <c r="I11" s="9">
        <f t="shared" si="0"/>
        <v>8845779.7348960657</v>
      </c>
      <c r="J11" s="9">
        <f t="shared" si="1"/>
        <v>146476.16578799998</v>
      </c>
      <c r="K11" s="9">
        <f t="shared" si="2"/>
        <v>3268029.7348960666</v>
      </c>
      <c r="L11" s="600"/>
      <c r="M11" s="600"/>
      <c r="N11" s="600"/>
      <c r="O11" s="600"/>
      <c r="P11" s="600"/>
      <c r="Q11" s="600"/>
      <c r="R11" s="600"/>
      <c r="S11" s="600"/>
      <c r="T11" s="600"/>
      <c r="U11" s="600"/>
      <c r="V11" s="600"/>
      <c r="W11" s="600"/>
      <c r="X11" s="600"/>
      <c r="Y11" s="600"/>
      <c r="Z11" s="600"/>
      <c r="AA11" s="600"/>
    </row>
    <row r="12" spans="1:27" ht="15" customHeight="1" x14ac:dyDescent="0.25">
      <c r="A12" s="286">
        <v>6</v>
      </c>
      <c r="B12" s="169" t="s">
        <v>142</v>
      </c>
      <c r="C12" s="43" t="s">
        <v>1204</v>
      </c>
      <c r="D12" s="169" t="s">
        <v>144</v>
      </c>
      <c r="E12" s="237">
        <f>THVL!J16</f>
        <v>162.07950000000002</v>
      </c>
      <c r="F12" s="9">
        <f>'Giá VL'!G8</f>
        <v>220000</v>
      </c>
      <c r="G12" s="9">
        <f>'Giá VL'!J8</f>
        <v>250000</v>
      </c>
      <c r="H12" s="9">
        <f>'Giá VL'!V8</f>
        <v>396476.16578799998</v>
      </c>
      <c r="I12" s="9">
        <f t="shared" si="0"/>
        <v>64260658.712836154</v>
      </c>
      <c r="J12" s="9">
        <f t="shared" si="1"/>
        <v>176476.16578799998</v>
      </c>
      <c r="K12" s="9">
        <f t="shared" si="2"/>
        <v>28603168.712836146</v>
      </c>
      <c r="L12" s="600"/>
      <c r="M12" s="600"/>
      <c r="N12" s="600"/>
      <c r="O12" s="600"/>
      <c r="P12" s="600"/>
      <c r="Q12" s="600"/>
      <c r="R12" s="600"/>
      <c r="S12" s="600"/>
      <c r="T12" s="600"/>
      <c r="U12" s="600"/>
      <c r="V12" s="600"/>
      <c r="W12" s="600"/>
      <c r="X12" s="600"/>
      <c r="Y12" s="600"/>
      <c r="Z12" s="600"/>
      <c r="AA12" s="600"/>
    </row>
    <row r="13" spans="1:27" ht="15" customHeight="1" x14ac:dyDescent="0.25">
      <c r="A13" s="286">
        <v>7</v>
      </c>
      <c r="B13" s="169" t="s">
        <v>95</v>
      </c>
      <c r="C13" s="43" t="s">
        <v>630</v>
      </c>
      <c r="D13" s="169" t="s">
        <v>144</v>
      </c>
      <c r="E13" s="237">
        <f>THVL!J18</f>
        <v>197.07910750000002</v>
      </c>
      <c r="F13" s="9">
        <f>'Giá VL'!G9</f>
        <v>560000</v>
      </c>
      <c r="G13" s="9">
        <f>'Giá VL'!J9</f>
        <v>800000</v>
      </c>
      <c r="H13" s="9">
        <f>'Giá VL'!V9</f>
        <v>938105.03993760003</v>
      </c>
      <c r="I13" s="9">
        <f t="shared" si="0"/>
        <v>184880904.0121541</v>
      </c>
      <c r="J13" s="9">
        <f t="shared" si="1"/>
        <v>378105.03993760003</v>
      </c>
      <c r="K13" s="9">
        <f t="shared" si="2"/>
        <v>74516603.812154084</v>
      </c>
      <c r="L13" s="600"/>
      <c r="M13" s="600"/>
      <c r="N13" s="600"/>
      <c r="O13" s="600"/>
      <c r="P13" s="600"/>
      <c r="Q13" s="600"/>
      <c r="R13" s="600"/>
      <c r="S13" s="600"/>
      <c r="T13" s="600"/>
      <c r="U13" s="600"/>
      <c r="V13" s="600"/>
      <c r="W13" s="600"/>
      <c r="X13" s="600"/>
      <c r="Y13" s="600"/>
      <c r="Z13" s="600"/>
      <c r="AA13" s="600"/>
    </row>
    <row r="14" spans="1:27" ht="15" customHeight="1" x14ac:dyDescent="0.25">
      <c r="A14" s="286">
        <v>8</v>
      </c>
      <c r="B14" s="169" t="s">
        <v>193</v>
      </c>
      <c r="C14" s="43" t="s">
        <v>759</v>
      </c>
      <c r="D14" s="169" t="s">
        <v>144</v>
      </c>
      <c r="E14" s="237">
        <f>THVL!J20</f>
        <v>319.82470250000006</v>
      </c>
      <c r="F14" s="9">
        <f>'Giá VL'!G10</f>
        <v>140000</v>
      </c>
      <c r="G14" s="9">
        <f>'Giá VL'!J10</f>
        <v>280000</v>
      </c>
      <c r="H14" s="9">
        <f>'Giá VL'!V10</f>
        <v>426476.16578799998</v>
      </c>
      <c r="I14" s="9">
        <f t="shared" si="0"/>
        <v>136397612.84648779</v>
      </c>
      <c r="J14" s="9">
        <f t="shared" si="1"/>
        <v>286476.16578799998</v>
      </c>
      <c r="K14" s="9">
        <f t="shared" si="2"/>
        <v>91622154.496487781</v>
      </c>
      <c r="L14" s="600"/>
      <c r="M14" s="600"/>
      <c r="N14" s="600"/>
      <c r="O14" s="600"/>
      <c r="P14" s="600"/>
      <c r="Q14" s="600"/>
      <c r="R14" s="600"/>
      <c r="S14" s="600"/>
      <c r="T14" s="600"/>
      <c r="U14" s="600"/>
      <c r="V14" s="600"/>
      <c r="W14" s="600"/>
      <c r="X14" s="600"/>
      <c r="Y14" s="600"/>
      <c r="Z14" s="600"/>
      <c r="AA14" s="600"/>
    </row>
    <row r="15" spans="1:27" ht="15" customHeight="1" x14ac:dyDescent="0.25">
      <c r="A15" s="286">
        <v>9</v>
      </c>
      <c r="B15" s="169" t="s">
        <v>1285</v>
      </c>
      <c r="C15" s="43" t="s">
        <v>730</v>
      </c>
      <c r="D15" s="169" t="s">
        <v>1258</v>
      </c>
      <c r="E15" s="237">
        <f>THVL!J22</f>
        <v>2045.4499999999998</v>
      </c>
      <c r="F15" s="9">
        <f>'Giá VL'!G11</f>
        <v>4000</v>
      </c>
      <c r="G15" s="9">
        <f>'Giá VL'!J11</f>
        <v>4000</v>
      </c>
      <c r="H15" s="9">
        <f>'Giá VL'!V11</f>
        <v>4000</v>
      </c>
      <c r="I15" s="9">
        <f t="shared" si="0"/>
        <v>8181799.9999999991</v>
      </c>
      <c r="J15" s="9">
        <f t="shared" si="1"/>
        <v>0</v>
      </c>
      <c r="K15" s="9">
        <f t="shared" si="2"/>
        <v>0</v>
      </c>
      <c r="L15" s="600"/>
      <c r="M15" s="600"/>
      <c r="N15" s="600"/>
      <c r="O15" s="600"/>
      <c r="P15" s="600"/>
      <c r="Q15" s="600"/>
      <c r="R15" s="600"/>
      <c r="S15" s="600"/>
      <c r="T15" s="600"/>
      <c r="U15" s="600"/>
      <c r="V15" s="600"/>
      <c r="W15" s="600"/>
      <c r="X15" s="600"/>
      <c r="Y15" s="600"/>
      <c r="Z15" s="600"/>
      <c r="AA15" s="600"/>
    </row>
    <row r="16" spans="1:27" ht="15" customHeight="1" x14ac:dyDescent="0.25">
      <c r="A16" s="286">
        <v>10</v>
      </c>
      <c r="B16" s="169" t="s">
        <v>491</v>
      </c>
      <c r="C16" s="43" t="s">
        <v>157</v>
      </c>
      <c r="D16" s="169" t="s">
        <v>144</v>
      </c>
      <c r="E16" s="237">
        <f>THVL!J24</f>
        <v>0</v>
      </c>
      <c r="F16" s="9">
        <f>'Giá VL'!G12</f>
        <v>1700000</v>
      </c>
      <c r="G16" s="9">
        <f>'Giá VL'!J12</f>
        <v>2800000</v>
      </c>
      <c r="H16" s="9">
        <f>'Giá VL'!V12</f>
        <v>2884202.0708116</v>
      </c>
      <c r="I16" s="9">
        <f t="shared" si="0"/>
        <v>0</v>
      </c>
      <c r="J16" s="9">
        <f t="shared" si="1"/>
        <v>1184202.0708116</v>
      </c>
      <c r="K16" s="9">
        <f t="shared" si="2"/>
        <v>0</v>
      </c>
      <c r="L16" s="600"/>
      <c r="M16" s="600"/>
      <c r="N16" s="600"/>
      <c r="O16" s="600"/>
      <c r="P16" s="600"/>
      <c r="Q16" s="600"/>
      <c r="R16" s="600"/>
      <c r="S16" s="600"/>
      <c r="T16" s="600"/>
      <c r="U16" s="600"/>
      <c r="V16" s="600"/>
      <c r="W16" s="600"/>
      <c r="X16" s="600"/>
      <c r="Y16" s="600"/>
      <c r="Z16" s="600"/>
      <c r="AA16" s="600"/>
    </row>
    <row r="17" spans="1:27" ht="15" customHeight="1" x14ac:dyDescent="0.25">
      <c r="A17" s="286">
        <v>11</v>
      </c>
      <c r="B17" s="169" t="s">
        <v>496</v>
      </c>
      <c r="C17" s="43" t="s">
        <v>309</v>
      </c>
      <c r="D17" s="169" t="s">
        <v>418</v>
      </c>
      <c r="E17" s="237">
        <f>THVL!J26</f>
        <v>4.7770800000000007</v>
      </c>
      <c r="F17" s="9">
        <f>'Giá VL'!G13</f>
        <v>45000</v>
      </c>
      <c r="G17" s="9">
        <f>'Giá VL'!J13</f>
        <v>45000</v>
      </c>
      <c r="H17" s="9">
        <f>'Giá VL'!V13</f>
        <v>45000</v>
      </c>
      <c r="I17" s="9">
        <f t="shared" si="0"/>
        <v>214968.60000000003</v>
      </c>
      <c r="J17" s="9">
        <f t="shared" si="1"/>
        <v>0</v>
      </c>
      <c r="K17" s="9">
        <f t="shared" si="2"/>
        <v>0</v>
      </c>
      <c r="L17" s="600"/>
      <c r="M17" s="600"/>
      <c r="N17" s="600"/>
      <c r="O17" s="600"/>
      <c r="P17" s="600"/>
      <c r="Q17" s="600"/>
      <c r="R17" s="600"/>
      <c r="S17" s="600"/>
      <c r="T17" s="600"/>
      <c r="U17" s="600"/>
      <c r="V17" s="600"/>
      <c r="W17" s="600"/>
      <c r="X17" s="600"/>
      <c r="Y17" s="600"/>
      <c r="Z17" s="600"/>
      <c r="AA17" s="600"/>
    </row>
    <row r="18" spans="1:27" ht="15" customHeight="1" x14ac:dyDescent="0.25">
      <c r="A18" s="286">
        <v>12</v>
      </c>
      <c r="B18" s="169" t="s">
        <v>138</v>
      </c>
      <c r="C18" s="43" t="s">
        <v>11</v>
      </c>
      <c r="D18" s="169" t="s">
        <v>460</v>
      </c>
      <c r="E18" s="237">
        <f>THVL!J28</f>
        <v>1301.6500000000001</v>
      </c>
      <c r="F18" s="9">
        <f>'Giá VL'!G14</f>
        <v>16300</v>
      </c>
      <c r="G18" s="9">
        <f>'Giá VL'!J14</f>
        <v>23400</v>
      </c>
      <c r="H18" s="9">
        <f>'Giá VL'!V14</f>
        <v>23512.2153897108</v>
      </c>
      <c r="I18" s="9">
        <f t="shared" si="0"/>
        <v>30604675.162017066</v>
      </c>
      <c r="J18" s="9">
        <f t="shared" si="1"/>
        <v>7212.2153897108001</v>
      </c>
      <c r="K18" s="9">
        <f t="shared" si="2"/>
        <v>9387780.162017066</v>
      </c>
      <c r="L18" s="600"/>
      <c r="M18" s="600"/>
      <c r="N18" s="600"/>
      <c r="O18" s="600"/>
      <c r="P18" s="600"/>
      <c r="Q18" s="600"/>
      <c r="R18" s="600"/>
      <c r="S18" s="600"/>
      <c r="T18" s="600"/>
      <c r="U18" s="600"/>
      <c r="V18" s="600"/>
      <c r="W18" s="600"/>
      <c r="X18" s="600"/>
      <c r="Y18" s="600"/>
      <c r="Z18" s="600"/>
      <c r="AA18" s="600"/>
    </row>
    <row r="19" spans="1:27" ht="15" customHeight="1" x14ac:dyDescent="0.25">
      <c r="A19" s="286">
        <v>13</v>
      </c>
      <c r="B19" s="169" t="s">
        <v>135</v>
      </c>
      <c r="C19" s="43" t="s">
        <v>938</v>
      </c>
      <c r="D19" s="169" t="s">
        <v>1431</v>
      </c>
      <c r="E19" s="237">
        <f>THVL!J30</f>
        <v>65947.167499999996</v>
      </c>
      <c r="F19" s="9">
        <f>'Giá VL'!G15</f>
        <v>15</v>
      </c>
      <c r="G19" s="9">
        <f>'Giá VL'!J15</f>
        <v>15</v>
      </c>
      <c r="H19" s="9">
        <f>'Giá VL'!V15</f>
        <v>15</v>
      </c>
      <c r="I19" s="9">
        <f t="shared" si="0"/>
        <v>989207.51249999995</v>
      </c>
      <c r="J19" s="9">
        <f t="shared" si="1"/>
        <v>0</v>
      </c>
      <c r="K19" s="9">
        <f t="shared" si="2"/>
        <v>0</v>
      </c>
      <c r="L19" s="600"/>
      <c r="M19" s="600"/>
      <c r="N19" s="600"/>
      <c r="O19" s="600"/>
      <c r="P19" s="600"/>
      <c r="Q19" s="600"/>
      <c r="R19" s="600"/>
      <c r="S19" s="600"/>
      <c r="T19" s="600"/>
      <c r="U19" s="600"/>
      <c r="V19" s="600"/>
      <c r="W19" s="600"/>
      <c r="X19" s="600"/>
      <c r="Y19" s="600"/>
      <c r="Z19" s="600"/>
      <c r="AA19" s="600"/>
    </row>
    <row r="20" spans="1:27" ht="15" customHeight="1" x14ac:dyDescent="0.25">
      <c r="A20" s="286">
        <v>14</v>
      </c>
      <c r="B20" s="169" t="s">
        <v>444</v>
      </c>
      <c r="C20" s="43" t="s">
        <v>938</v>
      </c>
      <c r="D20" s="169" t="s">
        <v>144</v>
      </c>
      <c r="E20" s="237">
        <f>THVL!J32</f>
        <v>3.0037700000000007</v>
      </c>
      <c r="F20" s="9">
        <f>'Giá VL'!G16</f>
        <v>15000</v>
      </c>
      <c r="G20" s="9">
        <f>'Giá VL'!J16</f>
        <v>15000</v>
      </c>
      <c r="H20" s="9">
        <f>'Giá VL'!V16</f>
        <v>15000</v>
      </c>
      <c r="I20" s="9">
        <f t="shared" si="0"/>
        <v>45056.55000000001</v>
      </c>
      <c r="J20" s="9">
        <f t="shared" si="1"/>
        <v>0</v>
      </c>
      <c r="K20" s="9">
        <f t="shared" si="2"/>
        <v>0</v>
      </c>
      <c r="L20" s="600"/>
      <c r="M20" s="600"/>
      <c r="N20" s="600"/>
      <c r="O20" s="600"/>
      <c r="P20" s="600"/>
      <c r="Q20" s="600"/>
      <c r="R20" s="600"/>
      <c r="S20" s="600"/>
      <c r="T20" s="600"/>
      <c r="U20" s="600"/>
      <c r="V20" s="600"/>
      <c r="W20" s="600"/>
      <c r="X20" s="600"/>
      <c r="Y20" s="600"/>
      <c r="Z20" s="600"/>
      <c r="AA20" s="600"/>
    </row>
    <row r="21" spans="1:27" ht="15" customHeight="1" x14ac:dyDescent="0.25">
      <c r="A21" s="286">
        <v>15</v>
      </c>
      <c r="B21" s="169" t="s">
        <v>218</v>
      </c>
      <c r="C21" s="43" t="s">
        <v>1165</v>
      </c>
      <c r="D21" s="169" t="s">
        <v>460</v>
      </c>
      <c r="E21" s="237">
        <f>THVL!J34</f>
        <v>3.2674400000000001</v>
      </c>
      <c r="F21" s="9">
        <f>'Giá VL'!G17</f>
        <v>24500</v>
      </c>
      <c r="G21" s="9">
        <f>'Giá VL'!J17</f>
        <v>24500</v>
      </c>
      <c r="H21" s="9">
        <f>'Giá VL'!V17</f>
        <v>24500</v>
      </c>
      <c r="I21" s="9">
        <f t="shared" si="0"/>
        <v>80052.28</v>
      </c>
      <c r="J21" s="9">
        <f t="shared" si="1"/>
        <v>0</v>
      </c>
      <c r="K21" s="9">
        <f t="shared" si="2"/>
        <v>0</v>
      </c>
      <c r="L21" s="600"/>
      <c r="M21" s="600"/>
      <c r="N21" s="600"/>
      <c r="O21" s="600"/>
      <c r="P21" s="600"/>
      <c r="Q21" s="600"/>
      <c r="R21" s="600"/>
      <c r="S21" s="600"/>
      <c r="T21" s="600"/>
      <c r="U21" s="600"/>
      <c r="V21" s="600"/>
      <c r="W21" s="600"/>
      <c r="X21" s="600"/>
      <c r="Y21" s="600"/>
      <c r="Z21" s="600"/>
      <c r="AA21" s="600"/>
    </row>
    <row r="22" spans="1:27" ht="15" customHeight="1" x14ac:dyDescent="0.25">
      <c r="A22" s="286">
        <v>16</v>
      </c>
      <c r="B22" s="169" t="s">
        <v>379</v>
      </c>
      <c r="C22" s="43" t="s">
        <v>209</v>
      </c>
      <c r="D22" s="169" t="s">
        <v>460</v>
      </c>
      <c r="E22" s="237">
        <f>THVL!J36</f>
        <v>65.141999999999996</v>
      </c>
      <c r="F22" s="9">
        <f>'Giá VL'!G18</f>
        <v>16300</v>
      </c>
      <c r="G22" s="9">
        <f>'Giá VL'!J18</f>
        <v>16300</v>
      </c>
      <c r="H22" s="9">
        <f>'Giá VL'!V18</f>
        <v>16380.8517124556</v>
      </c>
      <c r="I22" s="9">
        <f t="shared" si="0"/>
        <v>1067081.4422527826</v>
      </c>
      <c r="J22" s="9">
        <f t="shared" si="1"/>
        <v>80.851712455600136</v>
      </c>
      <c r="K22" s="9">
        <f t="shared" si="2"/>
        <v>5266.8422527827788</v>
      </c>
      <c r="L22" s="600"/>
      <c r="M22" s="600"/>
      <c r="N22" s="600"/>
      <c r="O22" s="600"/>
      <c r="P22" s="600"/>
      <c r="Q22" s="600"/>
      <c r="R22" s="600"/>
      <c r="S22" s="600"/>
      <c r="T22" s="600"/>
      <c r="U22" s="600"/>
      <c r="V22" s="600"/>
      <c r="W22" s="600"/>
      <c r="X22" s="600"/>
      <c r="Y22" s="600"/>
      <c r="Z22" s="600"/>
      <c r="AA22" s="600"/>
    </row>
    <row r="23" spans="1:27" ht="15" customHeight="1" x14ac:dyDescent="0.25">
      <c r="A23" s="286">
        <v>17</v>
      </c>
      <c r="B23" s="169" t="s">
        <v>762</v>
      </c>
      <c r="C23" s="43" t="s">
        <v>1191</v>
      </c>
      <c r="D23" s="169" t="s">
        <v>460</v>
      </c>
      <c r="E23" s="237">
        <f>THVL!J38</f>
        <v>129607.15000000001</v>
      </c>
      <c r="F23" s="9">
        <f>'Giá VL'!G19</f>
        <v>1330</v>
      </c>
      <c r="G23" s="9">
        <f>'Giá VL'!J19</f>
        <v>1550</v>
      </c>
      <c r="H23" s="9">
        <f>'Giá VL'!V19</f>
        <v>1705.1648223132001</v>
      </c>
      <c r="I23" s="9">
        <f t="shared" si="0"/>
        <v>221001552.90027028</v>
      </c>
      <c r="J23" s="9">
        <f t="shared" si="1"/>
        <v>375.16482231320015</v>
      </c>
      <c r="K23" s="9">
        <f t="shared" si="2"/>
        <v>48624043.400270283</v>
      </c>
      <c r="L23" s="600"/>
      <c r="M23" s="600"/>
      <c r="N23" s="600"/>
      <c r="O23" s="600"/>
      <c r="P23" s="600"/>
      <c r="Q23" s="600"/>
      <c r="R23" s="600"/>
      <c r="S23" s="600"/>
      <c r="T23" s="600"/>
      <c r="U23" s="600"/>
      <c r="V23" s="600"/>
      <c r="W23" s="600"/>
      <c r="X23" s="600"/>
      <c r="Y23" s="600"/>
      <c r="Z23" s="600"/>
      <c r="AA23" s="600"/>
    </row>
    <row r="24" spans="1:27" ht="15" customHeight="1" x14ac:dyDescent="0.25">
      <c r="A24" s="286">
        <v>18</v>
      </c>
      <c r="B24" s="169" t="s">
        <v>429</v>
      </c>
      <c r="C24" s="43" t="s">
        <v>1351</v>
      </c>
      <c r="D24" s="169" t="s">
        <v>1086</v>
      </c>
      <c r="E24" s="237">
        <f>THVL!J40</f>
        <v>572.15899999999999</v>
      </c>
      <c r="F24" s="9">
        <v>0</v>
      </c>
      <c r="G24" s="9">
        <v>0</v>
      </c>
      <c r="H24" s="9">
        <v>0</v>
      </c>
      <c r="I24" s="9">
        <v>8684454.5726140998</v>
      </c>
      <c r="J24" s="9">
        <f t="shared" si="1"/>
        <v>0</v>
      </c>
      <c r="K24" s="9">
        <v>3362522.0701766</v>
      </c>
      <c r="L24" s="600"/>
      <c r="M24" s="600"/>
      <c r="N24" s="600"/>
      <c r="O24" s="600"/>
      <c r="P24" s="600"/>
      <c r="Q24" s="600"/>
      <c r="R24" s="600"/>
      <c r="S24" s="600"/>
      <c r="T24" s="600"/>
      <c r="U24" s="600"/>
      <c r="V24" s="600"/>
      <c r="W24" s="600"/>
      <c r="X24" s="600"/>
      <c r="Y24" s="600"/>
      <c r="Z24" s="600"/>
      <c r="AA24" s="600"/>
    </row>
    <row r="25" spans="1:27" ht="14.1" customHeight="1" x14ac:dyDescent="0.25">
      <c r="A25" s="286"/>
      <c r="B25" s="169"/>
      <c r="C25" s="43"/>
      <c r="D25" s="169"/>
      <c r="E25" s="237"/>
      <c r="F25" s="9"/>
      <c r="G25" s="9"/>
      <c r="H25" s="9"/>
      <c r="I25" s="9"/>
      <c r="J25" s="9"/>
      <c r="K25" s="9"/>
      <c r="L25" s="600"/>
      <c r="M25" s="600"/>
      <c r="N25" s="600"/>
      <c r="O25" s="600"/>
      <c r="P25" s="600"/>
      <c r="Q25" s="600"/>
      <c r="R25" s="600"/>
      <c r="S25" s="600"/>
      <c r="T25" s="600"/>
      <c r="U25" s="600"/>
      <c r="V25" s="600"/>
      <c r="W25" s="600"/>
      <c r="X25" s="600"/>
      <c r="Y25" s="600"/>
      <c r="Z25" s="600"/>
      <c r="AA25" s="600"/>
    </row>
    <row r="26" spans="1:27" ht="15" customHeight="1" x14ac:dyDescent="0.25">
      <c r="A26" s="598" t="s">
        <v>1037</v>
      </c>
      <c r="B26" s="374"/>
      <c r="C26" s="374" t="s">
        <v>85</v>
      </c>
      <c r="D26" s="374"/>
      <c r="E26" s="719"/>
      <c r="F26" s="344"/>
      <c r="G26" s="344"/>
      <c r="H26" s="344">
        <v>0</v>
      </c>
      <c r="I26" s="344">
        <f>ROUND(SUM(I27:I33),0)</f>
        <v>198995726</v>
      </c>
      <c r="J26" s="344"/>
      <c r="K26" s="344">
        <f>ROUND(SUM(K27:K33),0)</f>
        <v>0</v>
      </c>
      <c r="L26" s="600"/>
      <c r="M26" s="600"/>
      <c r="N26" s="600"/>
      <c r="O26" s="600"/>
      <c r="P26" s="600"/>
      <c r="Q26" s="600"/>
      <c r="R26" s="600"/>
      <c r="S26" s="600"/>
      <c r="T26" s="600"/>
      <c r="U26" s="600"/>
      <c r="V26" s="600"/>
      <c r="W26" s="600"/>
      <c r="X26" s="600"/>
      <c r="Y26" s="600"/>
      <c r="Z26" s="600"/>
      <c r="AA26" s="600"/>
    </row>
    <row r="27" spans="1:27" ht="16.149999999999999" customHeight="1" x14ac:dyDescent="0.25">
      <c r="A27" s="286">
        <v>1</v>
      </c>
      <c r="B27" s="169" t="s">
        <v>591</v>
      </c>
      <c r="C27" s="43" t="s">
        <v>21</v>
      </c>
      <c r="D27" s="169" t="s">
        <v>239</v>
      </c>
      <c r="E27" s="237">
        <f>THNC!J6</f>
        <v>57.928791999999994</v>
      </c>
      <c r="F27" s="9">
        <f>'Giá NC'!G5</f>
        <v>228618</v>
      </c>
      <c r="G27" s="9">
        <f>'Giá NC'!H5</f>
        <v>228618</v>
      </c>
      <c r="H27" s="9">
        <f>'Giá NC'!K5</f>
        <v>228618</v>
      </c>
      <c r="I27" s="9">
        <f t="shared" ref="I27:I33" si="3">E27*H27</f>
        <v>13243564.569455998</v>
      </c>
      <c r="J27" s="9">
        <f t="shared" ref="J27:J33" si="4">H27-F27</f>
        <v>0</v>
      </c>
      <c r="K27" s="9">
        <f t="shared" ref="K27:K33" si="5">H27*E27-F27*E27</f>
        <v>0</v>
      </c>
      <c r="L27" s="600"/>
      <c r="M27" s="600"/>
      <c r="N27" s="600"/>
      <c r="O27" s="600"/>
      <c r="P27" s="600"/>
      <c r="Q27" s="600"/>
      <c r="R27" s="600"/>
      <c r="S27" s="600"/>
      <c r="T27" s="600"/>
      <c r="U27" s="600"/>
      <c r="V27" s="600"/>
      <c r="W27" s="600"/>
      <c r="X27" s="600"/>
      <c r="Y27" s="600"/>
      <c r="Z27" s="600"/>
      <c r="AA27" s="600"/>
    </row>
    <row r="28" spans="1:27" ht="16.149999999999999" customHeight="1" x14ac:dyDescent="0.25">
      <c r="A28" s="286">
        <v>2</v>
      </c>
      <c r="B28" s="169" t="s">
        <v>1103</v>
      </c>
      <c r="C28" s="43" t="s">
        <v>388</v>
      </c>
      <c r="D28" s="169" t="s">
        <v>239</v>
      </c>
      <c r="E28" s="237">
        <f>THNC!J12</f>
        <v>3.8325</v>
      </c>
      <c r="F28" s="9">
        <f>'Giá NC'!G6</f>
        <v>246908</v>
      </c>
      <c r="G28" s="9">
        <f>'Giá NC'!H6</f>
        <v>246908</v>
      </c>
      <c r="H28" s="9">
        <f>'Giá NC'!K6</f>
        <v>246908</v>
      </c>
      <c r="I28" s="9">
        <f t="shared" si="3"/>
        <v>946274.91</v>
      </c>
      <c r="J28" s="9">
        <f t="shared" si="4"/>
        <v>0</v>
      </c>
      <c r="K28" s="9">
        <f t="shared" si="5"/>
        <v>0</v>
      </c>
      <c r="L28" s="600"/>
      <c r="M28" s="600"/>
      <c r="N28" s="600"/>
      <c r="O28" s="600"/>
      <c r="P28" s="600"/>
      <c r="Q28" s="600"/>
      <c r="R28" s="600"/>
      <c r="S28" s="600"/>
      <c r="T28" s="600"/>
      <c r="U28" s="600"/>
      <c r="V28" s="600"/>
      <c r="W28" s="600"/>
      <c r="X28" s="600"/>
      <c r="Y28" s="600"/>
      <c r="Z28" s="600"/>
      <c r="AA28" s="600"/>
    </row>
    <row r="29" spans="1:27" ht="16.149999999999999" customHeight="1" x14ac:dyDescent="0.25">
      <c r="A29" s="286">
        <v>3</v>
      </c>
      <c r="B29" s="169" t="s">
        <v>1055</v>
      </c>
      <c r="C29" s="43" t="s">
        <v>695</v>
      </c>
      <c r="D29" s="169" t="s">
        <v>239</v>
      </c>
      <c r="E29" s="237">
        <f>THNC!J15</f>
        <v>561.93175000000019</v>
      </c>
      <c r="F29" s="9">
        <f>'Giá NC'!G7</f>
        <v>270000</v>
      </c>
      <c r="G29" s="9">
        <f>'Giá NC'!H7</f>
        <v>270000</v>
      </c>
      <c r="H29" s="9">
        <f>'Giá NC'!K7</f>
        <v>270000</v>
      </c>
      <c r="I29" s="9">
        <f t="shared" si="3"/>
        <v>151721572.50000006</v>
      </c>
      <c r="J29" s="9">
        <f t="shared" si="4"/>
        <v>0</v>
      </c>
      <c r="K29" s="9">
        <f t="shared" si="5"/>
        <v>0</v>
      </c>
      <c r="L29" s="600"/>
      <c r="M29" s="600"/>
      <c r="N29" s="600"/>
      <c r="O29" s="600"/>
      <c r="P29" s="600"/>
      <c r="Q29" s="600"/>
      <c r="R29" s="600"/>
      <c r="S29" s="600"/>
      <c r="T29" s="600"/>
      <c r="U29" s="600"/>
      <c r="V29" s="600"/>
      <c r="W29" s="600"/>
      <c r="X29" s="600"/>
      <c r="Y29" s="600"/>
      <c r="Z29" s="600"/>
      <c r="AA29" s="600"/>
    </row>
    <row r="30" spans="1:27" ht="16.149999999999999" customHeight="1" x14ac:dyDescent="0.25">
      <c r="A30" s="286">
        <v>4</v>
      </c>
      <c r="B30" s="169" t="s">
        <v>1295</v>
      </c>
      <c r="C30" s="43" t="s">
        <v>1147</v>
      </c>
      <c r="D30" s="169" t="s">
        <v>239</v>
      </c>
      <c r="E30" s="237">
        <f>THNC!J21</f>
        <v>23.782</v>
      </c>
      <c r="F30" s="9">
        <f>'Giá NC'!G8</f>
        <v>293092</v>
      </c>
      <c r="G30" s="9">
        <f>'Giá NC'!H8</f>
        <v>293092</v>
      </c>
      <c r="H30" s="9">
        <f>'Giá NC'!K8</f>
        <v>293092</v>
      </c>
      <c r="I30" s="9">
        <f t="shared" si="3"/>
        <v>6970313.9440000001</v>
      </c>
      <c r="J30" s="9">
        <f t="shared" si="4"/>
        <v>0</v>
      </c>
      <c r="K30" s="9">
        <f t="shared" si="5"/>
        <v>0</v>
      </c>
      <c r="L30" s="600"/>
      <c r="M30" s="600"/>
      <c r="N30" s="600"/>
      <c r="O30" s="600"/>
      <c r="P30" s="600"/>
      <c r="Q30" s="600"/>
      <c r="R30" s="600"/>
      <c r="S30" s="600"/>
      <c r="T30" s="600"/>
      <c r="U30" s="600"/>
      <c r="V30" s="600"/>
      <c r="W30" s="600"/>
      <c r="X30" s="600"/>
      <c r="Y30" s="600"/>
      <c r="Z30" s="600"/>
      <c r="AA30" s="600"/>
    </row>
    <row r="31" spans="1:27" ht="16.149999999999999" customHeight="1" x14ac:dyDescent="0.25">
      <c r="A31" s="286">
        <v>5</v>
      </c>
      <c r="B31" s="169" t="s">
        <v>172</v>
      </c>
      <c r="C31" s="43" t="s">
        <v>906</v>
      </c>
      <c r="D31" s="169" t="s">
        <v>1258</v>
      </c>
      <c r="E31" s="237">
        <f>THNC!J23</f>
        <v>1859.5</v>
      </c>
      <c r="F31" s="9">
        <v>12000</v>
      </c>
      <c r="G31" s="9">
        <v>12000</v>
      </c>
      <c r="H31" s="9">
        <v>12000</v>
      </c>
      <c r="I31" s="9">
        <f t="shared" si="3"/>
        <v>22314000</v>
      </c>
      <c r="J31" s="9">
        <f t="shared" si="4"/>
        <v>0</v>
      </c>
      <c r="K31" s="9">
        <f t="shared" si="5"/>
        <v>0</v>
      </c>
      <c r="L31" s="600"/>
      <c r="M31" s="600"/>
      <c r="N31" s="600"/>
      <c r="O31" s="600"/>
      <c r="P31" s="600"/>
      <c r="Q31" s="600"/>
      <c r="R31" s="600"/>
      <c r="S31" s="600"/>
      <c r="T31" s="600"/>
      <c r="U31" s="600"/>
      <c r="V31" s="600"/>
      <c r="W31" s="600"/>
      <c r="X31" s="600"/>
      <c r="Y31" s="600"/>
      <c r="Z31" s="600"/>
      <c r="AA31" s="600"/>
    </row>
    <row r="32" spans="1:27" ht="16.149999999999999" customHeight="1" x14ac:dyDescent="0.25">
      <c r="A32" s="286">
        <v>6</v>
      </c>
      <c r="B32" s="169" t="s">
        <v>172</v>
      </c>
      <c r="C32" s="43" t="s">
        <v>863</v>
      </c>
      <c r="D32" s="169" t="s">
        <v>239</v>
      </c>
      <c r="E32" s="237">
        <f>THNC!J25</f>
        <v>4</v>
      </c>
      <c r="F32" s="9">
        <v>450000</v>
      </c>
      <c r="G32" s="9">
        <v>450000</v>
      </c>
      <c r="H32" s="9">
        <v>450000</v>
      </c>
      <c r="I32" s="9">
        <f t="shared" si="3"/>
        <v>1800000</v>
      </c>
      <c r="J32" s="9">
        <f t="shared" si="4"/>
        <v>0</v>
      </c>
      <c r="K32" s="9">
        <f t="shared" si="5"/>
        <v>0</v>
      </c>
      <c r="L32" s="600"/>
      <c r="M32" s="600"/>
      <c r="N32" s="600"/>
      <c r="O32" s="600"/>
      <c r="P32" s="600"/>
      <c r="Q32" s="600"/>
      <c r="R32" s="600"/>
      <c r="S32" s="600"/>
      <c r="T32" s="600"/>
      <c r="U32" s="600"/>
      <c r="V32" s="600"/>
      <c r="W32" s="600"/>
      <c r="X32" s="600"/>
      <c r="Y32" s="600"/>
      <c r="Z32" s="600"/>
      <c r="AA32" s="600"/>
    </row>
    <row r="33" spans="1:27" ht="16.149999999999999" customHeight="1" x14ac:dyDescent="0.25">
      <c r="A33" s="286">
        <v>7</v>
      </c>
      <c r="B33" s="169" t="s">
        <v>172</v>
      </c>
      <c r="C33" s="43" t="s">
        <v>1003</v>
      </c>
      <c r="D33" s="169" t="s">
        <v>418</v>
      </c>
      <c r="E33" s="237">
        <f>THNC!J27</f>
        <v>2</v>
      </c>
      <c r="F33" s="9">
        <v>1000000</v>
      </c>
      <c r="G33" s="9">
        <v>1000000</v>
      </c>
      <c r="H33" s="9">
        <v>1000000</v>
      </c>
      <c r="I33" s="9">
        <f t="shared" si="3"/>
        <v>2000000</v>
      </c>
      <c r="J33" s="9">
        <f t="shared" si="4"/>
        <v>0</v>
      </c>
      <c r="K33" s="9">
        <f t="shared" si="5"/>
        <v>0</v>
      </c>
      <c r="L33" s="600"/>
      <c r="M33" s="600"/>
      <c r="N33" s="600"/>
      <c r="O33" s="600"/>
      <c r="P33" s="600"/>
      <c r="Q33" s="600"/>
      <c r="R33" s="600"/>
      <c r="S33" s="600"/>
      <c r="T33" s="600"/>
      <c r="U33" s="600"/>
      <c r="V33" s="600"/>
      <c r="W33" s="600"/>
      <c r="X33" s="600"/>
      <c r="Y33" s="600"/>
      <c r="Z33" s="600"/>
      <c r="AA33" s="600"/>
    </row>
    <row r="34" spans="1:27" ht="16.149999999999999" customHeight="1" x14ac:dyDescent="0.25">
      <c r="A34" s="286"/>
      <c r="B34" s="169"/>
      <c r="C34" s="43"/>
      <c r="D34" s="169"/>
      <c r="E34" s="237"/>
      <c r="F34" s="9"/>
      <c r="G34" s="9"/>
      <c r="H34" s="9"/>
      <c r="I34" s="9"/>
      <c r="J34" s="9"/>
      <c r="K34" s="9"/>
      <c r="L34" s="600"/>
      <c r="M34" s="600"/>
      <c r="N34" s="600"/>
      <c r="O34" s="600"/>
      <c r="P34" s="600"/>
      <c r="Q34" s="600"/>
      <c r="R34" s="600"/>
      <c r="S34" s="600"/>
      <c r="T34" s="600"/>
      <c r="U34" s="600"/>
      <c r="V34" s="600"/>
      <c r="W34" s="600"/>
      <c r="X34" s="600"/>
      <c r="Y34" s="600"/>
      <c r="Z34" s="600"/>
      <c r="AA34" s="600"/>
    </row>
    <row r="35" spans="1:27" ht="15" customHeight="1" x14ac:dyDescent="0.25">
      <c r="A35" s="598" t="s">
        <v>960</v>
      </c>
      <c r="B35" s="374"/>
      <c r="C35" s="374" t="s">
        <v>868</v>
      </c>
      <c r="D35" s="374"/>
      <c r="E35" s="719"/>
      <c r="F35" s="344"/>
      <c r="G35" s="344"/>
      <c r="H35" s="344">
        <v>0</v>
      </c>
      <c r="I35" s="344">
        <f>ROUND(SUM(I36:I55),0)</f>
        <v>79646596</v>
      </c>
      <c r="J35" s="344"/>
      <c r="K35" s="344">
        <f>ROUND(SUM(K36:K55),0)</f>
        <v>0</v>
      </c>
      <c r="L35" s="600"/>
      <c r="M35" s="600"/>
      <c r="N35" s="600"/>
      <c r="O35" s="600"/>
      <c r="P35" s="600"/>
      <c r="Q35" s="600"/>
      <c r="R35" s="600"/>
      <c r="S35" s="600"/>
      <c r="T35" s="600"/>
      <c r="U35" s="600"/>
      <c r="V35" s="600"/>
      <c r="W35" s="600"/>
      <c r="X35" s="600"/>
      <c r="Y35" s="600"/>
      <c r="Z35" s="600"/>
      <c r="AA35" s="600"/>
    </row>
    <row r="36" spans="1:27" ht="15" customHeight="1" x14ac:dyDescent="0.25">
      <c r="A36" s="286">
        <v>1</v>
      </c>
      <c r="B36" s="169" t="s">
        <v>445</v>
      </c>
      <c r="C36" s="43" t="s">
        <v>255</v>
      </c>
      <c r="D36" s="169" t="s">
        <v>1272</v>
      </c>
      <c r="E36" s="237">
        <f>THM!J6</f>
        <v>10.607999999999999</v>
      </c>
      <c r="F36" s="9">
        <f>'Giá Máy'!G5</f>
        <v>21147</v>
      </c>
      <c r="G36" s="9">
        <f>'Giá Máy'!H5</f>
        <v>21147</v>
      </c>
      <c r="H36" s="9">
        <f>'Giá Máy'!O5</f>
        <v>21147</v>
      </c>
      <c r="I36" s="9">
        <f t="shared" ref="I36:I54" si="6">E36*H36</f>
        <v>224327.37599999996</v>
      </c>
      <c r="J36" s="9">
        <f t="shared" ref="J36:J55" si="7">H36-F36</f>
        <v>0</v>
      </c>
      <c r="K36" s="9">
        <f t="shared" ref="K36:K54" si="8">H36*E36-F36*E36</f>
        <v>0</v>
      </c>
      <c r="L36" s="600"/>
      <c r="M36" s="600"/>
      <c r="N36" s="600"/>
      <c r="O36" s="600"/>
      <c r="P36" s="600"/>
      <c r="Q36" s="600"/>
      <c r="R36" s="600"/>
      <c r="S36" s="600"/>
      <c r="T36" s="600"/>
      <c r="U36" s="600"/>
      <c r="V36" s="600"/>
      <c r="W36" s="600"/>
      <c r="X36" s="600"/>
      <c r="Y36" s="600"/>
      <c r="Z36" s="600"/>
      <c r="AA36" s="600"/>
    </row>
    <row r="37" spans="1:27" ht="15" customHeight="1" x14ac:dyDescent="0.25">
      <c r="A37" s="286">
        <v>2</v>
      </c>
      <c r="B37" s="169" t="s">
        <v>701</v>
      </c>
      <c r="C37" s="43" t="s">
        <v>1460</v>
      </c>
      <c r="D37" s="169" t="s">
        <v>1272</v>
      </c>
      <c r="E37" s="237">
        <f>THM!J8</f>
        <v>0.185</v>
      </c>
      <c r="F37" s="9">
        <f>'Giá Máy'!G6</f>
        <v>1630308</v>
      </c>
      <c r="G37" s="9">
        <f>'Giá Máy'!H6</f>
        <v>1630308</v>
      </c>
      <c r="H37" s="9">
        <f>'Giá Máy'!O6</f>
        <v>1630308</v>
      </c>
      <c r="I37" s="9">
        <f t="shared" si="6"/>
        <v>301606.98</v>
      </c>
      <c r="J37" s="9">
        <f t="shared" si="7"/>
        <v>0</v>
      </c>
      <c r="K37" s="9">
        <f t="shared" si="8"/>
        <v>0</v>
      </c>
      <c r="L37" s="600"/>
      <c r="M37" s="600"/>
      <c r="N37" s="600"/>
      <c r="O37" s="600"/>
      <c r="P37" s="600"/>
      <c r="Q37" s="600"/>
      <c r="R37" s="600"/>
      <c r="S37" s="600"/>
      <c r="T37" s="600"/>
      <c r="U37" s="600"/>
      <c r="V37" s="600"/>
      <c r="W37" s="600"/>
      <c r="X37" s="600"/>
      <c r="Y37" s="600"/>
      <c r="Z37" s="600"/>
      <c r="AA37" s="600"/>
    </row>
    <row r="38" spans="1:27" ht="15" customHeight="1" x14ac:dyDescent="0.25">
      <c r="A38" s="286">
        <v>3</v>
      </c>
      <c r="B38" s="169" t="s">
        <v>369</v>
      </c>
      <c r="C38" s="43" t="s">
        <v>356</v>
      </c>
      <c r="D38" s="169" t="s">
        <v>1272</v>
      </c>
      <c r="E38" s="237">
        <f>THM!J10</f>
        <v>7.9618000000000011</v>
      </c>
      <c r="F38" s="9">
        <f>'Giá Máy'!G7</f>
        <v>316717</v>
      </c>
      <c r="G38" s="9">
        <f>'Giá Máy'!H7</f>
        <v>316717</v>
      </c>
      <c r="H38" s="9">
        <f>'Giá Máy'!O7</f>
        <v>316717</v>
      </c>
      <c r="I38" s="9">
        <f t="shared" si="6"/>
        <v>2521637.4106000005</v>
      </c>
      <c r="J38" s="9">
        <f t="shared" si="7"/>
        <v>0</v>
      </c>
      <c r="K38" s="9">
        <f t="shared" si="8"/>
        <v>0</v>
      </c>
      <c r="L38" s="600"/>
      <c r="M38" s="600"/>
      <c r="N38" s="600"/>
      <c r="O38" s="600"/>
      <c r="P38" s="600"/>
      <c r="Q38" s="600"/>
      <c r="R38" s="600"/>
      <c r="S38" s="600"/>
      <c r="T38" s="600"/>
      <c r="U38" s="600"/>
      <c r="V38" s="600"/>
      <c r="W38" s="600"/>
      <c r="X38" s="600"/>
      <c r="Y38" s="600"/>
      <c r="Z38" s="600"/>
      <c r="AA38" s="600"/>
    </row>
    <row r="39" spans="1:27" ht="15" customHeight="1" x14ac:dyDescent="0.25">
      <c r="A39" s="286">
        <v>4</v>
      </c>
      <c r="B39" s="169" t="s">
        <v>1395</v>
      </c>
      <c r="C39" s="43" t="s">
        <v>838</v>
      </c>
      <c r="D39" s="169" t="s">
        <v>1272</v>
      </c>
      <c r="E39" s="237">
        <f>THM!J12</f>
        <v>33.0991</v>
      </c>
      <c r="F39" s="9">
        <f>'Giá Máy'!G8</f>
        <v>276871</v>
      </c>
      <c r="G39" s="9">
        <f>'Giá Máy'!H8</f>
        <v>276871</v>
      </c>
      <c r="H39" s="9">
        <f>'Giá Máy'!O8</f>
        <v>276871</v>
      </c>
      <c r="I39" s="9">
        <f t="shared" si="6"/>
        <v>9164180.9160999991</v>
      </c>
      <c r="J39" s="9">
        <f t="shared" si="7"/>
        <v>0</v>
      </c>
      <c r="K39" s="9">
        <f t="shared" si="8"/>
        <v>0</v>
      </c>
      <c r="L39" s="600"/>
      <c r="M39" s="600"/>
      <c r="N39" s="600"/>
      <c r="O39" s="600"/>
      <c r="P39" s="600"/>
      <c r="Q39" s="600"/>
      <c r="R39" s="600"/>
      <c r="S39" s="600"/>
      <c r="T39" s="600"/>
      <c r="U39" s="600"/>
      <c r="V39" s="600"/>
      <c r="W39" s="600"/>
      <c r="X39" s="600"/>
      <c r="Y39" s="600"/>
      <c r="Z39" s="600"/>
      <c r="AA39" s="600"/>
    </row>
    <row r="40" spans="1:27" ht="15" customHeight="1" x14ac:dyDescent="0.25">
      <c r="A40" s="286">
        <v>5</v>
      </c>
      <c r="B40" s="169" t="s">
        <v>928</v>
      </c>
      <c r="C40" s="43" t="s">
        <v>195</v>
      </c>
      <c r="D40" s="169" t="s">
        <v>1272</v>
      </c>
      <c r="E40" s="237">
        <f>THM!J14</f>
        <v>5.6870000000000012</v>
      </c>
      <c r="F40" s="9">
        <f>'Giá Máy'!G9</f>
        <v>850000</v>
      </c>
      <c r="G40" s="9">
        <f>'Giá Máy'!H9</f>
        <v>850000</v>
      </c>
      <c r="H40" s="9">
        <f>'Giá Máy'!O9</f>
        <v>850000</v>
      </c>
      <c r="I40" s="9">
        <f t="shared" si="6"/>
        <v>4833950.0000000009</v>
      </c>
      <c r="J40" s="9">
        <f t="shared" si="7"/>
        <v>0</v>
      </c>
      <c r="K40" s="9">
        <f t="shared" si="8"/>
        <v>0</v>
      </c>
      <c r="L40" s="600"/>
      <c r="M40" s="600"/>
      <c r="N40" s="600"/>
      <c r="O40" s="600"/>
      <c r="P40" s="600"/>
      <c r="Q40" s="600"/>
      <c r="R40" s="600"/>
      <c r="S40" s="600"/>
      <c r="T40" s="600"/>
      <c r="U40" s="600"/>
      <c r="V40" s="600"/>
      <c r="W40" s="600"/>
      <c r="X40" s="600"/>
      <c r="Y40" s="600"/>
      <c r="Z40" s="600"/>
      <c r="AA40" s="600"/>
    </row>
    <row r="41" spans="1:27" ht="15" customHeight="1" x14ac:dyDescent="0.25">
      <c r="A41" s="286">
        <v>6</v>
      </c>
      <c r="B41" s="169" t="s">
        <v>1341</v>
      </c>
      <c r="C41" s="43" t="s">
        <v>571</v>
      </c>
      <c r="D41" s="169" t="s">
        <v>1272</v>
      </c>
      <c r="E41" s="237">
        <f>THM!J16</f>
        <v>33.0991</v>
      </c>
      <c r="F41" s="9">
        <f>'Giá Máy'!G10</f>
        <v>281279</v>
      </c>
      <c r="G41" s="9">
        <f>'Giá Máy'!H10</f>
        <v>281279</v>
      </c>
      <c r="H41" s="9">
        <f>'Giá Máy'!O10</f>
        <v>281279</v>
      </c>
      <c r="I41" s="9">
        <f t="shared" si="6"/>
        <v>9310081.7489</v>
      </c>
      <c r="J41" s="9">
        <f t="shared" si="7"/>
        <v>0</v>
      </c>
      <c r="K41" s="9">
        <f t="shared" si="8"/>
        <v>0</v>
      </c>
      <c r="L41" s="600"/>
      <c r="M41" s="600"/>
      <c r="N41" s="600"/>
      <c r="O41" s="600"/>
      <c r="P41" s="600"/>
      <c r="Q41" s="600"/>
      <c r="R41" s="600"/>
      <c r="S41" s="600"/>
      <c r="T41" s="600"/>
      <c r="U41" s="600"/>
      <c r="V41" s="600"/>
      <c r="W41" s="600"/>
      <c r="X41" s="600"/>
      <c r="Y41" s="600"/>
      <c r="Z41" s="600"/>
      <c r="AA41" s="600"/>
    </row>
    <row r="42" spans="1:27" ht="15" customHeight="1" x14ac:dyDescent="0.25">
      <c r="A42" s="286">
        <v>7</v>
      </c>
      <c r="B42" s="169" t="s">
        <v>921</v>
      </c>
      <c r="C42" s="43" t="s">
        <v>267</v>
      </c>
      <c r="D42" s="169" t="s">
        <v>1272</v>
      </c>
      <c r="E42" s="237">
        <f>THM!J18</f>
        <v>2.1255488000000002</v>
      </c>
      <c r="F42" s="9">
        <f>'Giá Máy'!G11</f>
        <v>2800000</v>
      </c>
      <c r="G42" s="9">
        <f>'Giá Máy'!H11</f>
        <v>2800000</v>
      </c>
      <c r="H42" s="9">
        <f>'Giá Máy'!O11</f>
        <v>2800000</v>
      </c>
      <c r="I42" s="9">
        <f t="shared" si="6"/>
        <v>5951536.6400000006</v>
      </c>
      <c r="J42" s="9">
        <f t="shared" si="7"/>
        <v>0</v>
      </c>
      <c r="K42" s="9">
        <f t="shared" si="8"/>
        <v>0</v>
      </c>
      <c r="L42" s="600"/>
      <c r="M42" s="600"/>
      <c r="N42" s="600"/>
      <c r="O42" s="600"/>
      <c r="P42" s="600"/>
      <c r="Q42" s="600"/>
      <c r="R42" s="600"/>
      <c r="S42" s="600"/>
      <c r="T42" s="600"/>
      <c r="U42" s="600"/>
      <c r="V42" s="600"/>
      <c r="W42" s="600"/>
      <c r="X42" s="600"/>
      <c r="Y42" s="600"/>
      <c r="Z42" s="600"/>
      <c r="AA42" s="600"/>
    </row>
    <row r="43" spans="1:27" ht="15" customHeight="1" x14ac:dyDescent="0.25">
      <c r="A43" s="286">
        <v>8</v>
      </c>
      <c r="B43" s="169" t="s">
        <v>68</v>
      </c>
      <c r="C43" s="43" t="s">
        <v>1060</v>
      </c>
      <c r="D43" s="169" t="s">
        <v>1272</v>
      </c>
      <c r="E43" s="237">
        <f>THM!J21</f>
        <v>0.51607919999999996</v>
      </c>
      <c r="F43" s="9">
        <f>'Giá Máy'!G12</f>
        <v>8635148</v>
      </c>
      <c r="G43" s="9">
        <f>'Giá Máy'!H12</f>
        <v>8635148</v>
      </c>
      <c r="H43" s="9">
        <f>'Giá Máy'!O12</f>
        <v>8635148</v>
      </c>
      <c r="I43" s="9">
        <f t="shared" si="6"/>
        <v>4456420.2717215996</v>
      </c>
      <c r="J43" s="9">
        <f t="shared" si="7"/>
        <v>0</v>
      </c>
      <c r="K43" s="9">
        <f t="shared" si="8"/>
        <v>0</v>
      </c>
      <c r="L43" s="600"/>
      <c r="M43" s="600"/>
      <c r="N43" s="600"/>
      <c r="O43" s="600"/>
      <c r="P43" s="600"/>
      <c r="Q43" s="600"/>
      <c r="R43" s="600"/>
      <c r="S43" s="600"/>
      <c r="T43" s="600"/>
      <c r="U43" s="600"/>
      <c r="V43" s="600"/>
      <c r="W43" s="600"/>
      <c r="X43" s="600"/>
      <c r="Y43" s="600"/>
      <c r="Z43" s="600"/>
      <c r="AA43" s="600"/>
    </row>
    <row r="44" spans="1:27" ht="15" customHeight="1" x14ac:dyDescent="0.25">
      <c r="A44" s="286">
        <v>9</v>
      </c>
      <c r="B44" s="169" t="s">
        <v>1203</v>
      </c>
      <c r="C44" s="43" t="s">
        <v>395</v>
      </c>
      <c r="D44" s="169" t="s">
        <v>1272</v>
      </c>
      <c r="E44" s="237">
        <f>THM!J23</f>
        <v>0.86856</v>
      </c>
      <c r="F44" s="9">
        <f>'Giá Máy'!G13</f>
        <v>426986</v>
      </c>
      <c r="G44" s="9">
        <f>'Giá Máy'!H13</f>
        <v>426986</v>
      </c>
      <c r="H44" s="9">
        <f>'Giá Máy'!O13</f>
        <v>426986</v>
      </c>
      <c r="I44" s="9">
        <f t="shared" si="6"/>
        <v>370862.96016000002</v>
      </c>
      <c r="J44" s="9">
        <f t="shared" si="7"/>
        <v>0</v>
      </c>
      <c r="K44" s="9">
        <f t="shared" si="8"/>
        <v>0</v>
      </c>
      <c r="L44" s="600"/>
      <c r="M44" s="600"/>
      <c r="N44" s="600"/>
      <c r="O44" s="600"/>
      <c r="P44" s="600"/>
      <c r="Q44" s="600"/>
      <c r="R44" s="600"/>
      <c r="S44" s="600"/>
      <c r="T44" s="600"/>
      <c r="U44" s="600"/>
      <c r="V44" s="600"/>
      <c r="W44" s="600"/>
      <c r="X44" s="600"/>
      <c r="Y44" s="600"/>
      <c r="Z44" s="600"/>
      <c r="AA44" s="600"/>
    </row>
    <row r="45" spans="1:27" ht="15" customHeight="1" x14ac:dyDescent="0.25">
      <c r="A45" s="286">
        <v>10</v>
      </c>
      <c r="B45" s="169" t="s">
        <v>402</v>
      </c>
      <c r="C45" s="43" t="s">
        <v>1459</v>
      </c>
      <c r="D45" s="169" t="s">
        <v>1272</v>
      </c>
      <c r="E45" s="237">
        <f>THM!J25</f>
        <v>0.13</v>
      </c>
      <c r="F45" s="9">
        <f>'Giá Máy'!G14</f>
        <v>1151395</v>
      </c>
      <c r="G45" s="9">
        <f>'Giá Máy'!H14</f>
        <v>1151395</v>
      </c>
      <c r="H45" s="9">
        <f>'Giá Máy'!O14</f>
        <v>1151395</v>
      </c>
      <c r="I45" s="9">
        <f t="shared" si="6"/>
        <v>149681.35</v>
      </c>
      <c r="J45" s="9">
        <f t="shared" si="7"/>
        <v>0</v>
      </c>
      <c r="K45" s="9">
        <f t="shared" si="8"/>
        <v>0</v>
      </c>
      <c r="L45" s="600"/>
      <c r="M45" s="600"/>
      <c r="N45" s="600"/>
      <c r="O45" s="600"/>
      <c r="P45" s="600"/>
      <c r="Q45" s="600"/>
      <c r="R45" s="600"/>
      <c r="S45" s="600"/>
      <c r="T45" s="600"/>
      <c r="U45" s="600"/>
      <c r="V45" s="600"/>
      <c r="W45" s="600"/>
      <c r="X45" s="600"/>
      <c r="Y45" s="600"/>
      <c r="Z45" s="600"/>
      <c r="AA45" s="600"/>
    </row>
    <row r="46" spans="1:27" ht="15" customHeight="1" x14ac:dyDescent="0.25">
      <c r="A46" s="286">
        <v>11</v>
      </c>
      <c r="B46" s="169" t="s">
        <v>647</v>
      </c>
      <c r="C46" s="43" t="s">
        <v>166</v>
      </c>
      <c r="D46" s="169" t="s">
        <v>1272</v>
      </c>
      <c r="E46" s="237">
        <f>THM!J27</f>
        <v>5.7119999999999997</v>
      </c>
      <c r="F46" s="9">
        <f>'Giá Máy'!G15</f>
        <v>1184116</v>
      </c>
      <c r="G46" s="9">
        <f>'Giá Máy'!H15</f>
        <v>1184116</v>
      </c>
      <c r="H46" s="9">
        <f>'Giá Máy'!O15</f>
        <v>1184116</v>
      </c>
      <c r="I46" s="9">
        <f t="shared" si="6"/>
        <v>6763670.5919999992</v>
      </c>
      <c r="J46" s="9">
        <f t="shared" si="7"/>
        <v>0</v>
      </c>
      <c r="K46" s="9">
        <f t="shared" si="8"/>
        <v>0</v>
      </c>
      <c r="L46" s="600"/>
      <c r="M46" s="600"/>
      <c r="N46" s="600"/>
      <c r="O46" s="600"/>
      <c r="P46" s="600"/>
      <c r="Q46" s="600"/>
      <c r="R46" s="600"/>
      <c r="S46" s="600"/>
      <c r="T46" s="600"/>
      <c r="U46" s="600"/>
      <c r="V46" s="600"/>
      <c r="W46" s="600"/>
      <c r="X46" s="600"/>
      <c r="Y46" s="600"/>
      <c r="Z46" s="600"/>
      <c r="AA46" s="600"/>
    </row>
    <row r="47" spans="1:27" ht="15" customHeight="1" x14ac:dyDescent="0.25">
      <c r="A47" s="286">
        <v>12</v>
      </c>
      <c r="B47" s="169" t="s">
        <v>698</v>
      </c>
      <c r="C47" s="43" t="s">
        <v>606</v>
      </c>
      <c r="D47" s="169" t="s">
        <v>1272</v>
      </c>
      <c r="E47" s="237">
        <f>THM!J29</f>
        <v>35.330500000000001</v>
      </c>
      <c r="F47" s="9">
        <f>'Giá Máy'!G16</f>
        <v>326306</v>
      </c>
      <c r="G47" s="9">
        <f>'Giá Máy'!H16</f>
        <v>326306</v>
      </c>
      <c r="H47" s="9">
        <f>'Giá Máy'!O16</f>
        <v>326306</v>
      </c>
      <c r="I47" s="9">
        <f t="shared" si="6"/>
        <v>11528554.132999999</v>
      </c>
      <c r="J47" s="9">
        <f t="shared" si="7"/>
        <v>0</v>
      </c>
      <c r="K47" s="9">
        <f t="shared" si="8"/>
        <v>0</v>
      </c>
      <c r="L47" s="600"/>
      <c r="M47" s="600"/>
      <c r="N47" s="600"/>
      <c r="O47" s="600"/>
      <c r="P47" s="600"/>
      <c r="Q47" s="600"/>
      <c r="R47" s="600"/>
      <c r="S47" s="600"/>
      <c r="T47" s="600"/>
      <c r="U47" s="600"/>
      <c r="V47" s="600"/>
      <c r="W47" s="600"/>
      <c r="X47" s="600"/>
      <c r="Y47" s="600"/>
      <c r="Z47" s="600"/>
      <c r="AA47" s="600"/>
    </row>
    <row r="48" spans="1:27" ht="15" customHeight="1" x14ac:dyDescent="0.25">
      <c r="A48" s="286">
        <v>13</v>
      </c>
      <c r="B48" s="169" t="s">
        <v>111</v>
      </c>
      <c r="C48" s="43" t="s">
        <v>1289</v>
      </c>
      <c r="D48" s="169" t="s">
        <v>1272</v>
      </c>
      <c r="E48" s="237">
        <f>THM!J31</f>
        <v>1.6718208000000001</v>
      </c>
      <c r="F48" s="9">
        <f>'Giá Máy'!G17</f>
        <v>2347866</v>
      </c>
      <c r="G48" s="9">
        <f>'Giá Máy'!H17</f>
        <v>2347866</v>
      </c>
      <c r="H48" s="9">
        <f>'Giá Máy'!O17</f>
        <v>2347866</v>
      </c>
      <c r="I48" s="9">
        <f t="shared" si="6"/>
        <v>3925211.2144128</v>
      </c>
      <c r="J48" s="9">
        <f t="shared" si="7"/>
        <v>0</v>
      </c>
      <c r="K48" s="9">
        <f t="shared" si="8"/>
        <v>0</v>
      </c>
      <c r="L48" s="600"/>
      <c r="M48" s="600"/>
      <c r="N48" s="600"/>
      <c r="O48" s="600"/>
      <c r="P48" s="600"/>
      <c r="Q48" s="600"/>
      <c r="R48" s="600"/>
      <c r="S48" s="600"/>
      <c r="T48" s="600"/>
      <c r="U48" s="600"/>
      <c r="V48" s="600"/>
      <c r="W48" s="600"/>
      <c r="X48" s="600"/>
      <c r="Y48" s="600"/>
      <c r="Z48" s="600"/>
      <c r="AA48" s="600"/>
    </row>
    <row r="49" spans="1:27" ht="15" customHeight="1" x14ac:dyDescent="0.25">
      <c r="A49" s="286">
        <v>14</v>
      </c>
      <c r="B49" s="169" t="s">
        <v>691</v>
      </c>
      <c r="C49" s="43" t="s">
        <v>55</v>
      </c>
      <c r="D49" s="169" t="s">
        <v>1272</v>
      </c>
      <c r="E49" s="237">
        <f>THM!J33</f>
        <v>1</v>
      </c>
      <c r="F49" s="9">
        <f>'Giá Máy'!G18</f>
        <v>2000000</v>
      </c>
      <c r="G49" s="9">
        <f>'Giá Máy'!H18</f>
        <v>2000000</v>
      </c>
      <c r="H49" s="9">
        <f>'Giá Máy'!O18</f>
        <v>2000000</v>
      </c>
      <c r="I49" s="9">
        <f t="shared" si="6"/>
        <v>2000000</v>
      </c>
      <c r="J49" s="9">
        <f t="shared" si="7"/>
        <v>0</v>
      </c>
      <c r="K49" s="9">
        <f t="shared" si="8"/>
        <v>0</v>
      </c>
      <c r="L49" s="600"/>
      <c r="M49" s="600"/>
      <c r="N49" s="600"/>
      <c r="O49" s="600"/>
      <c r="P49" s="600"/>
      <c r="Q49" s="600"/>
      <c r="R49" s="600"/>
      <c r="S49" s="600"/>
      <c r="T49" s="600"/>
      <c r="U49" s="600"/>
      <c r="V49" s="600"/>
      <c r="W49" s="600"/>
      <c r="X49" s="600"/>
      <c r="Y49" s="600"/>
      <c r="Z49" s="600"/>
      <c r="AA49" s="600"/>
    </row>
    <row r="50" spans="1:27" ht="15" customHeight="1" x14ac:dyDescent="0.25">
      <c r="A50" s="286">
        <v>15</v>
      </c>
      <c r="B50" s="169" t="s">
        <v>1073</v>
      </c>
      <c r="C50" s="43" t="s">
        <v>328</v>
      </c>
      <c r="D50" s="169" t="s">
        <v>1272</v>
      </c>
      <c r="E50" s="237">
        <f>THM!J35</f>
        <v>0.105</v>
      </c>
      <c r="F50" s="9">
        <f>'Giá Máy'!G19</f>
        <v>1152070</v>
      </c>
      <c r="G50" s="9">
        <f>'Giá Máy'!H19</f>
        <v>1152070</v>
      </c>
      <c r="H50" s="9">
        <f>'Giá Máy'!O19</f>
        <v>1152070</v>
      </c>
      <c r="I50" s="9">
        <f t="shared" si="6"/>
        <v>120967.34999999999</v>
      </c>
      <c r="J50" s="9">
        <f t="shared" si="7"/>
        <v>0</v>
      </c>
      <c r="K50" s="9">
        <f t="shared" si="8"/>
        <v>0</v>
      </c>
      <c r="L50" s="600"/>
      <c r="M50" s="600"/>
      <c r="N50" s="600"/>
      <c r="O50" s="600"/>
      <c r="P50" s="600"/>
      <c r="Q50" s="600"/>
      <c r="R50" s="600"/>
      <c r="S50" s="600"/>
      <c r="T50" s="600"/>
      <c r="U50" s="600"/>
      <c r="V50" s="600"/>
      <c r="W50" s="600"/>
      <c r="X50" s="600"/>
      <c r="Y50" s="600"/>
      <c r="Z50" s="600"/>
      <c r="AA50" s="600"/>
    </row>
    <row r="51" spans="1:27" ht="28.15" customHeight="1" x14ac:dyDescent="0.25">
      <c r="A51" s="286">
        <v>16</v>
      </c>
      <c r="B51" s="169" t="s">
        <v>172</v>
      </c>
      <c r="C51" s="43" t="s">
        <v>576</v>
      </c>
      <c r="D51" s="169" t="s">
        <v>1272</v>
      </c>
      <c r="E51" s="237">
        <f>THM!J37</f>
        <v>2</v>
      </c>
      <c r="F51" s="9">
        <v>3200000</v>
      </c>
      <c r="G51" s="9">
        <v>3200000</v>
      </c>
      <c r="H51" s="9">
        <v>3200000</v>
      </c>
      <c r="I51" s="9">
        <f t="shared" si="6"/>
        <v>6400000</v>
      </c>
      <c r="J51" s="9">
        <f t="shared" si="7"/>
        <v>0</v>
      </c>
      <c r="K51" s="9">
        <f t="shared" si="8"/>
        <v>0</v>
      </c>
      <c r="L51" s="600"/>
      <c r="M51" s="600"/>
      <c r="N51" s="600"/>
      <c r="O51" s="600"/>
      <c r="P51" s="600"/>
      <c r="Q51" s="600"/>
      <c r="R51" s="600"/>
      <c r="S51" s="600"/>
      <c r="T51" s="600"/>
      <c r="U51" s="600"/>
      <c r="V51" s="600"/>
      <c r="W51" s="600"/>
      <c r="X51" s="600"/>
      <c r="Y51" s="600"/>
      <c r="Z51" s="600"/>
      <c r="AA51" s="600"/>
    </row>
    <row r="52" spans="1:27" ht="15" customHeight="1" x14ac:dyDescent="0.25">
      <c r="A52" s="286">
        <v>17</v>
      </c>
      <c r="B52" s="169" t="s">
        <v>172</v>
      </c>
      <c r="C52" s="43" t="s">
        <v>711</v>
      </c>
      <c r="D52" s="169" t="s">
        <v>1272</v>
      </c>
      <c r="E52" s="237">
        <f>THM!J39</f>
        <v>1</v>
      </c>
      <c r="F52" s="9">
        <v>2000000</v>
      </c>
      <c r="G52" s="9">
        <v>2000000</v>
      </c>
      <c r="H52" s="9">
        <v>2000000</v>
      </c>
      <c r="I52" s="9">
        <f t="shared" si="6"/>
        <v>2000000</v>
      </c>
      <c r="J52" s="9">
        <f t="shared" si="7"/>
        <v>0</v>
      </c>
      <c r="K52" s="9">
        <f t="shared" si="8"/>
        <v>0</v>
      </c>
      <c r="L52" s="600"/>
      <c r="M52" s="600"/>
      <c r="N52" s="600"/>
      <c r="O52" s="600"/>
      <c r="P52" s="600"/>
      <c r="Q52" s="600"/>
      <c r="R52" s="600"/>
      <c r="S52" s="600"/>
      <c r="T52" s="600"/>
      <c r="U52" s="600"/>
      <c r="V52" s="600"/>
      <c r="W52" s="600"/>
      <c r="X52" s="600"/>
      <c r="Y52" s="600"/>
      <c r="Z52" s="600"/>
      <c r="AA52" s="600"/>
    </row>
    <row r="53" spans="1:27" ht="28.15" customHeight="1" x14ac:dyDescent="0.25">
      <c r="A53" s="286">
        <v>18</v>
      </c>
      <c r="B53" s="169" t="s">
        <v>172</v>
      </c>
      <c r="C53" s="43" t="s">
        <v>1377</v>
      </c>
      <c r="D53" s="169" t="s">
        <v>1272</v>
      </c>
      <c r="E53" s="237">
        <f>THM!J41</f>
        <v>2</v>
      </c>
      <c r="F53" s="9">
        <v>2000000</v>
      </c>
      <c r="G53" s="9">
        <v>2000000</v>
      </c>
      <c r="H53" s="9">
        <v>2000000</v>
      </c>
      <c r="I53" s="9">
        <f t="shared" si="6"/>
        <v>4000000</v>
      </c>
      <c r="J53" s="9">
        <f t="shared" si="7"/>
        <v>0</v>
      </c>
      <c r="K53" s="9">
        <f t="shared" si="8"/>
        <v>0</v>
      </c>
      <c r="L53" s="600"/>
      <c r="M53" s="600"/>
      <c r="N53" s="600"/>
      <c r="O53" s="600"/>
      <c r="P53" s="600"/>
      <c r="Q53" s="600"/>
      <c r="R53" s="600"/>
      <c r="S53" s="600"/>
      <c r="T53" s="600"/>
      <c r="U53" s="600"/>
      <c r="V53" s="600"/>
      <c r="W53" s="600"/>
      <c r="X53" s="600"/>
      <c r="Y53" s="600"/>
      <c r="Z53" s="600"/>
      <c r="AA53" s="600"/>
    </row>
    <row r="54" spans="1:27" ht="28.15" customHeight="1" x14ac:dyDescent="0.25">
      <c r="A54" s="286">
        <v>19</v>
      </c>
      <c r="B54" s="169" t="s">
        <v>505</v>
      </c>
      <c r="C54" s="43" t="s">
        <v>768</v>
      </c>
      <c r="D54" s="169" t="s">
        <v>1272</v>
      </c>
      <c r="E54" s="237">
        <v>1</v>
      </c>
      <c r="F54" s="9">
        <v>5000000</v>
      </c>
      <c r="G54" s="9">
        <v>5000000</v>
      </c>
      <c r="H54" s="9">
        <v>5000000</v>
      </c>
      <c r="I54" s="9">
        <f t="shared" si="6"/>
        <v>5000000</v>
      </c>
      <c r="J54" s="9">
        <f t="shared" si="7"/>
        <v>0</v>
      </c>
      <c r="K54" s="9">
        <f t="shared" si="8"/>
        <v>0</v>
      </c>
      <c r="L54" s="600"/>
      <c r="M54" s="600"/>
      <c r="N54" s="600"/>
      <c r="O54" s="600"/>
      <c r="P54" s="600"/>
      <c r="Q54" s="600"/>
      <c r="R54" s="600"/>
      <c r="S54" s="600"/>
      <c r="T54" s="600"/>
      <c r="U54" s="600"/>
      <c r="V54" s="600"/>
      <c r="W54" s="600"/>
      <c r="X54" s="600"/>
      <c r="Y54" s="600"/>
      <c r="Z54" s="600"/>
      <c r="AA54" s="600"/>
    </row>
    <row r="55" spans="1:27" ht="15" customHeight="1" x14ac:dyDescent="0.25">
      <c r="A55" s="286">
        <v>20</v>
      </c>
      <c r="B55" s="169" t="s">
        <v>760</v>
      </c>
      <c r="C55" s="43" t="s">
        <v>1321</v>
      </c>
      <c r="D55" s="169" t="s">
        <v>1086</v>
      </c>
      <c r="E55" s="237">
        <f>THM!J45</f>
        <v>773.18600000000004</v>
      </c>
      <c r="F55" s="9">
        <v>0</v>
      </c>
      <c r="G55" s="9">
        <v>0</v>
      </c>
      <c r="H55" s="9">
        <v>0</v>
      </c>
      <c r="I55" s="9">
        <v>623907.18766319996</v>
      </c>
      <c r="J55" s="9">
        <f t="shared" si="7"/>
        <v>0</v>
      </c>
      <c r="K55" s="9">
        <v>0</v>
      </c>
      <c r="L55" s="600"/>
      <c r="M55" s="600"/>
      <c r="N55" s="600"/>
      <c r="O55" s="600"/>
      <c r="P55" s="600"/>
      <c r="Q55" s="600"/>
      <c r="R55" s="600"/>
      <c r="S55" s="600"/>
      <c r="T55" s="600"/>
      <c r="U55" s="600"/>
      <c r="V55" s="600"/>
      <c r="W55" s="600"/>
      <c r="X55" s="600"/>
      <c r="Y55" s="600"/>
      <c r="Z55" s="600"/>
      <c r="AA55" s="600"/>
    </row>
    <row r="56" spans="1:27" ht="14.1" customHeight="1" x14ac:dyDescent="0.25">
      <c r="A56" s="210"/>
      <c r="B56" s="663"/>
      <c r="C56" s="597"/>
      <c r="D56" s="663"/>
      <c r="E56" s="722"/>
      <c r="F56" s="348"/>
      <c r="G56" s="348"/>
      <c r="H56" s="348"/>
      <c r="I56" s="348"/>
      <c r="J56" s="348"/>
      <c r="K56" s="348"/>
      <c r="L56" s="600"/>
      <c r="M56" s="600"/>
      <c r="N56" s="600"/>
      <c r="O56" s="600"/>
      <c r="P56" s="600"/>
      <c r="Q56" s="600"/>
      <c r="R56" s="600"/>
      <c r="S56" s="600"/>
      <c r="T56" s="600"/>
      <c r="U56" s="600"/>
      <c r="V56" s="600"/>
      <c r="W56" s="600"/>
      <c r="X56" s="600"/>
      <c r="Y56" s="600"/>
      <c r="Z56" s="600"/>
      <c r="AA56" s="600"/>
    </row>
    <row r="57" spans="1:27" ht="14.1" customHeight="1" x14ac:dyDescent="0.25">
      <c r="A57" s="424"/>
      <c r="B57" s="511"/>
      <c r="C57" s="511"/>
      <c r="D57" s="511"/>
      <c r="E57" s="511"/>
      <c r="F57" s="511"/>
      <c r="G57" s="511"/>
      <c r="H57" s="511"/>
      <c r="I57" s="511"/>
      <c r="J57" s="511"/>
      <c r="K57" s="511"/>
      <c r="L57" s="600"/>
      <c r="M57" s="600"/>
      <c r="N57" s="600"/>
      <c r="O57" s="600"/>
      <c r="P57" s="600"/>
      <c r="Q57" s="600"/>
      <c r="R57" s="600"/>
      <c r="S57" s="600"/>
      <c r="T57" s="600"/>
      <c r="U57" s="600"/>
      <c r="V57" s="600"/>
      <c r="W57" s="600"/>
      <c r="X57" s="600"/>
      <c r="Y57" s="600"/>
      <c r="Z57" s="600"/>
      <c r="AA57" s="600"/>
    </row>
    <row r="58" spans="1:27" x14ac:dyDescent="0.25">
      <c r="B58" s="600"/>
      <c r="C58" s="600"/>
      <c r="D58" s="600"/>
      <c r="E58" s="600"/>
      <c r="F58" s="600"/>
      <c r="G58" s="600"/>
      <c r="H58" s="600"/>
      <c r="I58" s="600"/>
      <c r="J58" s="600"/>
      <c r="K58" s="600"/>
      <c r="L58" s="600"/>
      <c r="M58" s="600"/>
      <c r="N58" s="600"/>
      <c r="O58" s="600"/>
      <c r="P58" s="600"/>
      <c r="Q58" s="600"/>
      <c r="R58" s="600"/>
      <c r="S58" s="600"/>
      <c r="T58" s="600"/>
      <c r="U58" s="600"/>
      <c r="V58" s="600"/>
      <c r="W58" s="600"/>
      <c r="X58" s="600"/>
      <c r="Y58" s="600"/>
      <c r="Z58" s="600"/>
      <c r="AA58" s="600"/>
    </row>
    <row r="59" spans="1:27" x14ac:dyDescent="0.25">
      <c r="B59" s="600"/>
      <c r="C59" s="600"/>
      <c r="D59" s="600"/>
      <c r="E59" s="600"/>
      <c r="F59" s="600"/>
      <c r="G59" s="600"/>
      <c r="H59" s="600"/>
      <c r="I59" s="600"/>
      <c r="J59" s="600"/>
      <c r="K59" s="600"/>
      <c r="L59" s="600"/>
      <c r="M59" s="600"/>
      <c r="N59" s="600"/>
      <c r="O59" s="600"/>
      <c r="P59" s="600"/>
      <c r="Q59" s="600"/>
      <c r="R59" s="600"/>
      <c r="S59" s="600"/>
      <c r="T59" s="600"/>
      <c r="U59" s="600"/>
      <c r="V59" s="600"/>
      <c r="W59" s="600"/>
      <c r="X59" s="600"/>
      <c r="Y59" s="600"/>
      <c r="Z59" s="600"/>
      <c r="AA59" s="600"/>
    </row>
  </sheetData>
  <mergeCells count="13">
    <mergeCell ref="F4:F5"/>
    <mergeCell ref="H4:H5"/>
    <mergeCell ref="G4:G5"/>
    <mergeCell ref="A1:K1"/>
    <mergeCell ref="A2:K2"/>
    <mergeCell ref="A3:K3"/>
    <mergeCell ref="J4:K4"/>
    <mergeCell ref="A4:A5"/>
    <mergeCell ref="I4:I5"/>
    <mergeCell ref="B4:B5"/>
    <mergeCell ref="C4:C5"/>
    <mergeCell ref="D4:D5"/>
    <mergeCell ref="E4:E5"/>
  </mergeCells>
  <pageMargins left="0.7" right="0.7" top="0.75" bottom="0.75" header="0.3" footer="0.3"/>
  <pageSetup paperSize="9"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indexed="45"/>
  </sheetPr>
  <dimension ref="A1:AA60"/>
  <sheetViews>
    <sheetView showZeros="0" workbookViewId="0">
      <selection activeCell="B13" sqref="B13:H13"/>
    </sheetView>
  </sheetViews>
  <sheetFormatPr defaultRowHeight="15" x14ac:dyDescent="0.25"/>
  <cols>
    <col min="1" max="1" width="4.85546875" customWidth="1"/>
    <col min="2" max="2" width="8.85546875" customWidth="1"/>
    <col min="3" max="3" width="29.140625" customWidth="1"/>
    <col min="4" max="4" width="7.140625" customWidth="1"/>
    <col min="5" max="5" width="10.85546875" customWidth="1"/>
    <col min="6" max="7" width="10.7109375" customWidth="1"/>
    <col min="8" max="8" width="12.7109375" customWidth="1"/>
    <col min="9" max="9" width="14.7109375" customWidth="1"/>
    <col min="10" max="11" width="8.85546875" hidden="1" customWidth="1"/>
  </cols>
  <sheetData>
    <row r="1" spans="1:27" ht="17.649999999999999" customHeight="1" x14ac:dyDescent="0.25">
      <c r="A1" s="1186" t="s">
        <v>566</v>
      </c>
      <c r="B1" s="1187"/>
      <c r="C1" s="1187"/>
      <c r="D1" s="1187"/>
      <c r="E1" s="1187"/>
      <c r="F1" s="1187"/>
      <c r="G1" s="1187"/>
      <c r="H1" s="1187"/>
      <c r="I1" s="1187"/>
      <c r="J1" s="1187"/>
      <c r="K1" s="1187"/>
    </row>
    <row r="2" spans="1:27" ht="15" customHeight="1" x14ac:dyDescent="0.25">
      <c r="A2" s="1188" t="s">
        <v>1421</v>
      </c>
      <c r="B2" s="1189"/>
      <c r="C2" s="1189"/>
      <c r="D2" s="1189"/>
      <c r="E2" s="1189"/>
      <c r="F2" s="1189"/>
      <c r="G2" s="1189"/>
      <c r="H2" s="1189"/>
      <c r="I2" s="1189"/>
      <c r="J2" s="1189"/>
      <c r="K2" s="1189"/>
    </row>
    <row r="3" spans="1:27" ht="14.1" customHeight="1" x14ac:dyDescent="0.25">
      <c r="A3" s="1188"/>
      <c r="B3" s="1189"/>
      <c r="C3" s="1189"/>
      <c r="D3" s="1189"/>
      <c r="E3" s="1189"/>
      <c r="F3" s="1189"/>
      <c r="G3" s="1189"/>
      <c r="H3" s="1189"/>
      <c r="I3" s="1189"/>
      <c r="J3" s="1189"/>
      <c r="K3" s="1189"/>
    </row>
    <row r="4" spans="1:27" ht="15.4" customHeight="1" x14ac:dyDescent="0.25">
      <c r="A4" s="1190" t="s">
        <v>1323</v>
      </c>
      <c r="B4" s="1185" t="s">
        <v>876</v>
      </c>
      <c r="C4" s="1185" t="s">
        <v>1332</v>
      </c>
      <c r="D4" s="1185" t="s">
        <v>1448</v>
      </c>
      <c r="E4" s="1185" t="s">
        <v>207</v>
      </c>
      <c r="F4" s="1185" t="s">
        <v>1446</v>
      </c>
      <c r="G4" s="1185" t="s">
        <v>1313</v>
      </c>
      <c r="H4" s="1185" t="s">
        <v>1192</v>
      </c>
      <c r="I4" s="1191" t="s">
        <v>1017</v>
      </c>
      <c r="J4" s="1185" t="s">
        <v>83</v>
      </c>
      <c r="K4" s="1185"/>
      <c r="L4" s="600"/>
      <c r="M4" s="600"/>
      <c r="N4" s="600"/>
      <c r="O4" s="600"/>
      <c r="P4" s="600"/>
      <c r="Q4" s="600"/>
      <c r="R4" s="600"/>
      <c r="S4" s="600"/>
      <c r="T4" s="600"/>
      <c r="U4" s="600"/>
      <c r="V4" s="600"/>
      <c r="W4" s="600"/>
      <c r="X4" s="600"/>
      <c r="Y4" s="600"/>
      <c r="Z4" s="600"/>
      <c r="AA4" s="600"/>
    </row>
    <row r="5" spans="1:27" ht="32.450000000000003" customHeight="1" x14ac:dyDescent="0.25">
      <c r="A5" s="1190"/>
      <c r="B5" s="1185"/>
      <c r="C5" s="1185"/>
      <c r="D5" s="1185"/>
      <c r="E5" s="1185"/>
      <c r="F5" s="1185"/>
      <c r="G5" s="1185"/>
      <c r="H5" s="1185"/>
      <c r="I5" s="1192"/>
      <c r="J5" s="60" t="s">
        <v>452</v>
      </c>
      <c r="K5" s="60" t="s">
        <v>898</v>
      </c>
      <c r="L5" s="600"/>
      <c r="M5" s="600"/>
      <c r="N5" s="600"/>
      <c r="O5" s="600"/>
      <c r="P5" s="600"/>
      <c r="Q5" s="600"/>
      <c r="R5" s="600"/>
      <c r="S5" s="600"/>
      <c r="T5" s="600"/>
      <c r="U5" s="600"/>
      <c r="V5" s="600"/>
      <c r="W5" s="600"/>
      <c r="X5" s="600"/>
      <c r="Y5" s="600"/>
      <c r="Z5" s="600"/>
      <c r="AA5" s="600"/>
    </row>
    <row r="6" spans="1:27" ht="15" customHeight="1" x14ac:dyDescent="0.25">
      <c r="A6" s="598" t="s">
        <v>1232</v>
      </c>
      <c r="B6" s="374"/>
      <c r="C6" s="374" t="s">
        <v>81</v>
      </c>
      <c r="D6" s="374"/>
      <c r="E6" s="719"/>
      <c r="F6" s="344"/>
      <c r="G6" s="344"/>
      <c r="H6" s="344"/>
      <c r="I6" s="344">
        <f t="shared" ref="I6:K6" si="0">ROUND(SUM(I7:I24),0)</f>
        <v>708365207</v>
      </c>
      <c r="J6" s="344">
        <f t="shared" si="0"/>
        <v>2355880</v>
      </c>
      <c r="K6" s="344">
        <f t="shared" si="0"/>
        <v>267850950</v>
      </c>
      <c r="L6" s="600"/>
      <c r="M6" s="600"/>
      <c r="N6" s="600"/>
      <c r="O6" s="600"/>
      <c r="P6" s="600"/>
      <c r="Q6" s="600"/>
      <c r="R6" s="600"/>
      <c r="S6" s="600"/>
      <c r="T6" s="600"/>
      <c r="U6" s="600"/>
      <c r="V6" s="600"/>
      <c r="W6" s="600"/>
      <c r="X6" s="600"/>
      <c r="Y6" s="600"/>
      <c r="Z6" s="600"/>
      <c r="AA6" s="600"/>
    </row>
    <row r="7" spans="1:27" ht="15" customHeight="1" x14ac:dyDescent="0.25">
      <c r="A7" s="481">
        <v>1</v>
      </c>
      <c r="B7" s="109" t="s">
        <v>258</v>
      </c>
      <c r="C7" s="43" t="s">
        <v>1061</v>
      </c>
      <c r="D7" s="109" t="s">
        <v>28</v>
      </c>
      <c r="E7" s="23">
        <f>THVL!J6</f>
        <v>5</v>
      </c>
      <c r="F7" s="858">
        <f>'Giá VL'!G5</f>
        <v>1050000</v>
      </c>
      <c r="G7" s="858">
        <f>'Giá VL'!J5</f>
        <v>1050000</v>
      </c>
      <c r="H7" s="858">
        <f>'Giá VL'!V5</f>
        <v>1050000</v>
      </c>
      <c r="I7" s="858">
        <f t="shared" ref="I7:I23" si="1">E7*H7</f>
        <v>5250000</v>
      </c>
      <c r="J7" s="9">
        <f t="shared" ref="J7:J24" si="2">H7-F7</f>
        <v>0</v>
      </c>
      <c r="K7" s="9">
        <f t="shared" ref="K7:K24" si="3">H7*E7-F7*E7</f>
        <v>0</v>
      </c>
      <c r="L7" s="600"/>
      <c r="M7" s="600"/>
      <c r="N7" s="600"/>
      <c r="O7" s="600"/>
      <c r="P7" s="600"/>
      <c r="Q7" s="600"/>
      <c r="R7" s="600"/>
      <c r="S7" s="600"/>
      <c r="T7" s="600"/>
      <c r="U7" s="600"/>
      <c r="V7" s="600"/>
      <c r="W7" s="600"/>
      <c r="X7" s="600"/>
      <c r="Y7" s="600"/>
      <c r="Z7" s="600"/>
      <c r="AA7" s="600"/>
    </row>
    <row r="8" spans="1:27" ht="28.15" customHeight="1" x14ac:dyDescent="0.25">
      <c r="A8" s="481">
        <v>2</v>
      </c>
      <c r="B8" s="109" t="s">
        <v>172</v>
      </c>
      <c r="C8" s="43" t="s">
        <v>906</v>
      </c>
      <c r="D8" s="109" t="s">
        <v>1258</v>
      </c>
      <c r="E8" s="23">
        <f>THVL!J8</f>
        <v>1859.5</v>
      </c>
      <c r="F8" s="858">
        <v>5000</v>
      </c>
      <c r="G8" s="858">
        <v>5000</v>
      </c>
      <c r="H8" s="858">
        <v>5000</v>
      </c>
      <c r="I8" s="858">
        <f t="shared" si="1"/>
        <v>9297500</v>
      </c>
      <c r="J8" s="9">
        <f t="shared" si="2"/>
        <v>0</v>
      </c>
      <c r="K8" s="9">
        <f t="shared" si="3"/>
        <v>0</v>
      </c>
      <c r="L8" s="600"/>
      <c r="M8" s="600"/>
      <c r="N8" s="600"/>
      <c r="O8" s="600"/>
      <c r="P8" s="600"/>
      <c r="Q8" s="600"/>
      <c r="R8" s="600"/>
      <c r="S8" s="600"/>
      <c r="T8" s="600"/>
      <c r="U8" s="600"/>
      <c r="V8" s="600"/>
      <c r="W8" s="600"/>
      <c r="X8" s="600"/>
      <c r="Y8" s="600"/>
      <c r="Z8" s="600"/>
      <c r="AA8" s="600"/>
    </row>
    <row r="9" spans="1:27" ht="15" customHeight="1" x14ac:dyDescent="0.25">
      <c r="A9" s="481">
        <v>3</v>
      </c>
      <c r="B9" s="109" t="s">
        <v>172</v>
      </c>
      <c r="C9" s="43" t="s">
        <v>1003</v>
      </c>
      <c r="D9" s="109" t="s">
        <v>418</v>
      </c>
      <c r="E9" s="23">
        <f>THNC!J27</f>
        <v>2</v>
      </c>
      <c r="F9" s="858">
        <v>1000000</v>
      </c>
      <c r="G9" s="858">
        <v>1000000</v>
      </c>
      <c r="H9" s="858">
        <v>1000000</v>
      </c>
      <c r="I9" s="858">
        <f t="shared" si="1"/>
        <v>2000000</v>
      </c>
      <c r="J9" s="9">
        <f t="shared" si="2"/>
        <v>0</v>
      </c>
      <c r="K9" s="9">
        <f t="shared" si="3"/>
        <v>0</v>
      </c>
      <c r="L9" s="600"/>
      <c r="M9" s="600"/>
      <c r="N9" s="600"/>
      <c r="O9" s="600"/>
      <c r="P9" s="600"/>
      <c r="Q9" s="600"/>
      <c r="R9" s="600"/>
      <c r="S9" s="600"/>
      <c r="T9" s="600"/>
      <c r="U9" s="600"/>
      <c r="V9" s="600"/>
      <c r="W9" s="600"/>
      <c r="X9" s="600"/>
      <c r="Y9" s="600"/>
      <c r="Z9" s="600"/>
      <c r="AA9" s="600"/>
    </row>
    <row r="10" spans="1:27" ht="15" customHeight="1" x14ac:dyDescent="0.25">
      <c r="A10" s="481">
        <v>4</v>
      </c>
      <c r="B10" s="109" t="s">
        <v>1290</v>
      </c>
      <c r="C10" s="43" t="s">
        <v>1204</v>
      </c>
      <c r="D10" s="109" t="s">
        <v>144</v>
      </c>
      <c r="E10" s="23">
        <f>THVL!J12</f>
        <v>67</v>
      </c>
      <c r="F10" s="858">
        <f>'Giá VL'!G6</f>
        <v>220000</v>
      </c>
      <c r="G10" s="858">
        <f>'Giá VL'!J6</f>
        <v>250000</v>
      </c>
      <c r="H10" s="858">
        <f>'Giá VL'!V6</f>
        <v>396476.16578799998</v>
      </c>
      <c r="I10" s="858">
        <f t="shared" si="1"/>
        <v>26563903.107795998</v>
      </c>
      <c r="J10" s="9">
        <f t="shared" si="2"/>
        <v>176476.16578799998</v>
      </c>
      <c r="K10" s="9">
        <f t="shared" si="3"/>
        <v>11823903.107795998</v>
      </c>
      <c r="L10" s="600"/>
      <c r="M10" s="600"/>
      <c r="N10" s="600"/>
      <c r="O10" s="600"/>
      <c r="P10" s="600"/>
      <c r="Q10" s="600"/>
      <c r="R10" s="600"/>
      <c r="S10" s="600"/>
      <c r="T10" s="600"/>
      <c r="U10" s="600"/>
      <c r="V10" s="600"/>
      <c r="W10" s="600"/>
      <c r="X10" s="600"/>
      <c r="Y10" s="600"/>
      <c r="Z10" s="600"/>
      <c r="AA10" s="600"/>
    </row>
    <row r="11" spans="1:27" ht="15" customHeight="1" x14ac:dyDescent="0.25">
      <c r="A11" s="481">
        <v>5</v>
      </c>
      <c r="B11" s="109" t="s">
        <v>1290</v>
      </c>
      <c r="C11" s="43" t="s">
        <v>103</v>
      </c>
      <c r="D11" s="109" t="s">
        <v>144</v>
      </c>
      <c r="E11" s="23">
        <f>THVL!J14</f>
        <v>22.310999999999996</v>
      </c>
      <c r="F11" s="858">
        <f>'Giá VL'!G7</f>
        <v>250000</v>
      </c>
      <c r="G11" s="858">
        <f>'Giá VL'!J7</f>
        <v>250000</v>
      </c>
      <c r="H11" s="858">
        <f>'Giá VL'!V7</f>
        <v>396476.16578799998</v>
      </c>
      <c r="I11" s="858">
        <f t="shared" si="1"/>
        <v>8845779.7348960657</v>
      </c>
      <c r="J11" s="9">
        <f t="shared" si="2"/>
        <v>146476.16578799998</v>
      </c>
      <c r="K11" s="9">
        <f t="shared" si="3"/>
        <v>3268029.7348960666</v>
      </c>
      <c r="L11" s="600"/>
      <c r="M11" s="600"/>
      <c r="N11" s="600"/>
      <c r="O11" s="600"/>
      <c r="P11" s="600"/>
      <c r="Q11" s="600"/>
      <c r="R11" s="600"/>
      <c r="S11" s="600"/>
      <c r="T11" s="600"/>
      <c r="U11" s="600"/>
      <c r="V11" s="600"/>
      <c r="W11" s="600"/>
      <c r="X11" s="600"/>
      <c r="Y11" s="600"/>
      <c r="Z11" s="600"/>
      <c r="AA11" s="600"/>
    </row>
    <row r="12" spans="1:27" ht="15" customHeight="1" x14ac:dyDescent="0.25">
      <c r="A12" s="481">
        <v>6</v>
      </c>
      <c r="B12" s="109" t="s">
        <v>142</v>
      </c>
      <c r="C12" s="43" t="s">
        <v>1204</v>
      </c>
      <c r="D12" s="109" t="s">
        <v>144</v>
      </c>
      <c r="E12" s="23">
        <f>THVL!J16</f>
        <v>162.07950000000002</v>
      </c>
      <c r="F12" s="858">
        <f>'Giá VL'!G8</f>
        <v>220000</v>
      </c>
      <c r="G12" s="858">
        <f>'Giá VL'!J8</f>
        <v>250000</v>
      </c>
      <c r="H12" s="858">
        <f>'Giá VL'!V8</f>
        <v>396476.16578799998</v>
      </c>
      <c r="I12" s="858">
        <f t="shared" si="1"/>
        <v>64260658.712836154</v>
      </c>
      <c r="J12" s="9">
        <f t="shared" si="2"/>
        <v>176476.16578799998</v>
      </c>
      <c r="K12" s="9">
        <f t="shared" si="3"/>
        <v>28603168.712836146</v>
      </c>
      <c r="L12" s="600"/>
      <c r="M12" s="600"/>
      <c r="N12" s="600"/>
      <c r="O12" s="600"/>
      <c r="P12" s="600"/>
      <c r="Q12" s="600"/>
      <c r="R12" s="600"/>
      <c r="S12" s="600"/>
      <c r="T12" s="600"/>
      <c r="U12" s="600"/>
      <c r="V12" s="600"/>
      <c r="W12" s="600"/>
      <c r="X12" s="600"/>
      <c r="Y12" s="600"/>
      <c r="Z12" s="600"/>
      <c r="AA12" s="600"/>
    </row>
    <row r="13" spans="1:27" ht="15" customHeight="1" x14ac:dyDescent="0.25">
      <c r="A13" s="481">
        <v>7</v>
      </c>
      <c r="B13" s="109" t="s">
        <v>95</v>
      </c>
      <c r="C13" s="43" t="s">
        <v>630</v>
      </c>
      <c r="D13" s="109" t="s">
        <v>144</v>
      </c>
      <c r="E13" s="23">
        <f>THVL!J18</f>
        <v>197.07910750000002</v>
      </c>
      <c r="F13" s="858">
        <f>'Giá VL'!G9</f>
        <v>560000</v>
      </c>
      <c r="G13" s="858">
        <f>'Giá VL'!J9</f>
        <v>800000</v>
      </c>
      <c r="H13" s="858">
        <f>'Giá VL'!V9</f>
        <v>938105.03993760003</v>
      </c>
      <c r="I13" s="858">
        <f t="shared" si="1"/>
        <v>184880904.0121541</v>
      </c>
      <c r="J13" s="9">
        <f t="shared" si="2"/>
        <v>378105.03993760003</v>
      </c>
      <c r="K13" s="9">
        <f t="shared" si="3"/>
        <v>74516603.812154084</v>
      </c>
      <c r="L13" s="600"/>
      <c r="M13" s="600"/>
      <c r="N13" s="600"/>
      <c r="O13" s="600"/>
      <c r="P13" s="600"/>
      <c r="Q13" s="600"/>
      <c r="R13" s="600"/>
      <c r="S13" s="600"/>
      <c r="T13" s="600"/>
      <c r="U13" s="600"/>
      <c r="V13" s="600"/>
      <c r="W13" s="600"/>
      <c r="X13" s="600"/>
      <c r="Y13" s="600"/>
      <c r="Z13" s="600"/>
      <c r="AA13" s="600"/>
    </row>
    <row r="14" spans="1:27" ht="15" customHeight="1" x14ac:dyDescent="0.25">
      <c r="A14" s="481">
        <v>8</v>
      </c>
      <c r="B14" s="109" t="s">
        <v>193</v>
      </c>
      <c r="C14" s="43" t="s">
        <v>759</v>
      </c>
      <c r="D14" s="109" t="s">
        <v>144</v>
      </c>
      <c r="E14" s="23">
        <f>THVL!J20</f>
        <v>319.82470250000006</v>
      </c>
      <c r="F14" s="858">
        <f>'Giá VL'!G10</f>
        <v>140000</v>
      </c>
      <c r="G14" s="858">
        <f>'Giá VL'!J10</f>
        <v>280000</v>
      </c>
      <c r="H14" s="858">
        <f>'Giá VL'!V10</f>
        <v>426476.16578799998</v>
      </c>
      <c r="I14" s="858">
        <f t="shared" si="1"/>
        <v>136397612.84648779</v>
      </c>
      <c r="J14" s="9">
        <f t="shared" si="2"/>
        <v>286476.16578799998</v>
      </c>
      <c r="K14" s="9">
        <f t="shared" si="3"/>
        <v>91622154.496487781</v>
      </c>
      <c r="L14" s="600"/>
      <c r="M14" s="600"/>
      <c r="N14" s="600"/>
      <c r="O14" s="600"/>
      <c r="P14" s="600"/>
      <c r="Q14" s="600"/>
      <c r="R14" s="600"/>
      <c r="S14" s="600"/>
      <c r="T14" s="600"/>
      <c r="U14" s="600"/>
      <c r="V14" s="600"/>
      <c r="W14" s="600"/>
      <c r="X14" s="600"/>
      <c r="Y14" s="600"/>
      <c r="Z14" s="600"/>
      <c r="AA14" s="600"/>
    </row>
    <row r="15" spans="1:27" ht="15" customHeight="1" x14ac:dyDescent="0.25">
      <c r="A15" s="481">
        <v>9</v>
      </c>
      <c r="B15" s="109" t="s">
        <v>1285</v>
      </c>
      <c r="C15" s="43" t="s">
        <v>730</v>
      </c>
      <c r="D15" s="109" t="s">
        <v>1258</v>
      </c>
      <c r="E15" s="23">
        <f>THVL!J22</f>
        <v>2045.4499999999998</v>
      </c>
      <c r="F15" s="858">
        <f>'Giá VL'!G11</f>
        <v>4000</v>
      </c>
      <c r="G15" s="858">
        <f>'Giá VL'!J11</f>
        <v>4000</v>
      </c>
      <c r="H15" s="858">
        <f>'Giá VL'!V11</f>
        <v>4000</v>
      </c>
      <c r="I15" s="858">
        <f t="shared" si="1"/>
        <v>8181799.9999999991</v>
      </c>
      <c r="J15" s="9">
        <f t="shared" si="2"/>
        <v>0</v>
      </c>
      <c r="K15" s="9">
        <f t="shared" si="3"/>
        <v>0</v>
      </c>
      <c r="L15" s="600"/>
      <c r="M15" s="600"/>
      <c r="N15" s="600"/>
      <c r="O15" s="600"/>
      <c r="P15" s="600"/>
      <c r="Q15" s="600"/>
      <c r="R15" s="600"/>
      <c r="S15" s="600"/>
      <c r="T15" s="600"/>
      <c r="U15" s="600"/>
      <c r="V15" s="600"/>
      <c r="W15" s="600"/>
      <c r="X15" s="600"/>
      <c r="Y15" s="600"/>
      <c r="Z15" s="600"/>
      <c r="AA15" s="600"/>
    </row>
    <row r="16" spans="1:27" ht="15" customHeight="1" x14ac:dyDescent="0.25">
      <c r="A16" s="481">
        <v>10</v>
      </c>
      <c r="B16" s="109" t="s">
        <v>491</v>
      </c>
      <c r="C16" s="43" t="s">
        <v>157</v>
      </c>
      <c r="D16" s="109" t="s">
        <v>144</v>
      </c>
      <c r="E16" s="23">
        <f>THVL!J24</f>
        <v>0</v>
      </c>
      <c r="F16" s="858">
        <f>'Giá VL'!G12</f>
        <v>1700000</v>
      </c>
      <c r="G16" s="858">
        <f>'Giá VL'!J12</f>
        <v>2800000</v>
      </c>
      <c r="H16" s="858">
        <f>'Giá VL'!V12</f>
        <v>2884202.0708116</v>
      </c>
      <c r="I16" s="858">
        <f t="shared" si="1"/>
        <v>0</v>
      </c>
      <c r="J16" s="9">
        <f t="shared" si="2"/>
        <v>1184202.0708116</v>
      </c>
      <c r="K16" s="9">
        <f t="shared" si="3"/>
        <v>0</v>
      </c>
      <c r="L16" s="600"/>
      <c r="M16" s="600"/>
      <c r="N16" s="600"/>
      <c r="O16" s="600"/>
      <c r="P16" s="600"/>
      <c r="Q16" s="600"/>
      <c r="R16" s="600"/>
      <c r="S16" s="600"/>
      <c r="T16" s="600"/>
      <c r="U16" s="600"/>
      <c r="V16" s="600"/>
      <c r="W16" s="600"/>
      <c r="X16" s="600"/>
      <c r="Y16" s="600"/>
      <c r="Z16" s="600"/>
      <c r="AA16" s="600"/>
    </row>
    <row r="17" spans="1:27" ht="15" customHeight="1" x14ac:dyDescent="0.25">
      <c r="A17" s="481">
        <v>11</v>
      </c>
      <c r="B17" s="109" t="s">
        <v>496</v>
      </c>
      <c r="C17" s="43" t="s">
        <v>309</v>
      </c>
      <c r="D17" s="109" t="s">
        <v>418</v>
      </c>
      <c r="E17" s="23">
        <f>THVL!J26</f>
        <v>4.7770800000000007</v>
      </c>
      <c r="F17" s="858">
        <f>'Giá VL'!G13</f>
        <v>45000</v>
      </c>
      <c r="G17" s="858">
        <f>'Giá VL'!J13</f>
        <v>45000</v>
      </c>
      <c r="H17" s="858">
        <f>'Giá VL'!V13</f>
        <v>45000</v>
      </c>
      <c r="I17" s="858">
        <f t="shared" si="1"/>
        <v>214968.60000000003</v>
      </c>
      <c r="J17" s="9">
        <f t="shared" si="2"/>
        <v>0</v>
      </c>
      <c r="K17" s="9">
        <f t="shared" si="3"/>
        <v>0</v>
      </c>
      <c r="L17" s="600"/>
      <c r="M17" s="600"/>
      <c r="N17" s="600"/>
      <c r="O17" s="600"/>
      <c r="P17" s="600"/>
      <c r="Q17" s="600"/>
      <c r="R17" s="600"/>
      <c r="S17" s="600"/>
      <c r="T17" s="600"/>
      <c r="U17" s="600"/>
      <c r="V17" s="600"/>
      <c r="W17" s="600"/>
      <c r="X17" s="600"/>
      <c r="Y17" s="600"/>
      <c r="Z17" s="600"/>
      <c r="AA17" s="600"/>
    </row>
    <row r="18" spans="1:27" ht="15" customHeight="1" x14ac:dyDescent="0.25">
      <c r="A18" s="481">
        <v>12</v>
      </c>
      <c r="B18" s="109" t="s">
        <v>138</v>
      </c>
      <c r="C18" s="43" t="s">
        <v>11</v>
      </c>
      <c r="D18" s="109" t="s">
        <v>460</v>
      </c>
      <c r="E18" s="23">
        <f>THVL!J28</f>
        <v>1301.6500000000001</v>
      </c>
      <c r="F18" s="858">
        <f>'Giá VL'!G14</f>
        <v>16300</v>
      </c>
      <c r="G18" s="858">
        <f>'Giá VL'!J14</f>
        <v>23400</v>
      </c>
      <c r="H18" s="858">
        <f>'Giá VL'!V14</f>
        <v>23512.2153897108</v>
      </c>
      <c r="I18" s="858">
        <f t="shared" si="1"/>
        <v>30604675.162017066</v>
      </c>
      <c r="J18" s="9">
        <f t="shared" si="2"/>
        <v>7212.2153897108001</v>
      </c>
      <c r="K18" s="9">
        <f t="shared" si="3"/>
        <v>9387780.162017066</v>
      </c>
      <c r="L18" s="600"/>
      <c r="M18" s="600"/>
      <c r="N18" s="600"/>
      <c r="O18" s="600"/>
      <c r="P18" s="600"/>
      <c r="Q18" s="600"/>
      <c r="R18" s="600"/>
      <c r="S18" s="600"/>
      <c r="T18" s="600"/>
      <c r="U18" s="600"/>
      <c r="V18" s="600"/>
      <c r="W18" s="600"/>
      <c r="X18" s="600"/>
      <c r="Y18" s="600"/>
      <c r="Z18" s="600"/>
      <c r="AA18" s="600"/>
    </row>
    <row r="19" spans="1:27" ht="15" customHeight="1" x14ac:dyDescent="0.25">
      <c r="A19" s="481">
        <v>13</v>
      </c>
      <c r="B19" s="109" t="s">
        <v>135</v>
      </c>
      <c r="C19" s="43" t="s">
        <v>938</v>
      </c>
      <c r="D19" s="109" t="s">
        <v>1431</v>
      </c>
      <c r="E19" s="23">
        <f>THVL!J30</f>
        <v>65947.167499999996</v>
      </c>
      <c r="F19" s="858">
        <f>'Giá VL'!G15</f>
        <v>15</v>
      </c>
      <c r="G19" s="858">
        <f>'Giá VL'!J15</f>
        <v>15</v>
      </c>
      <c r="H19" s="858">
        <f>'Giá VL'!V15</f>
        <v>15</v>
      </c>
      <c r="I19" s="858">
        <f t="shared" si="1"/>
        <v>989207.51249999995</v>
      </c>
      <c r="J19" s="9">
        <f t="shared" si="2"/>
        <v>0</v>
      </c>
      <c r="K19" s="9">
        <f t="shared" si="3"/>
        <v>0</v>
      </c>
      <c r="L19" s="600"/>
      <c r="M19" s="600"/>
      <c r="N19" s="600"/>
      <c r="O19" s="600"/>
      <c r="P19" s="600"/>
      <c r="Q19" s="600"/>
      <c r="R19" s="600"/>
      <c r="S19" s="600"/>
      <c r="T19" s="600"/>
      <c r="U19" s="600"/>
      <c r="V19" s="600"/>
      <c r="W19" s="600"/>
      <c r="X19" s="600"/>
      <c r="Y19" s="600"/>
      <c r="Z19" s="600"/>
      <c r="AA19" s="600"/>
    </row>
    <row r="20" spans="1:27" ht="15" customHeight="1" x14ac:dyDescent="0.25">
      <c r="A20" s="481">
        <v>14</v>
      </c>
      <c r="B20" s="109" t="s">
        <v>444</v>
      </c>
      <c r="C20" s="43" t="s">
        <v>938</v>
      </c>
      <c r="D20" s="109" t="s">
        <v>144</v>
      </c>
      <c r="E20" s="23">
        <f>THVL!J32</f>
        <v>3.0037700000000007</v>
      </c>
      <c r="F20" s="858">
        <f>'Giá VL'!G16</f>
        <v>15000</v>
      </c>
      <c r="G20" s="858">
        <f>'Giá VL'!J16</f>
        <v>15000</v>
      </c>
      <c r="H20" s="858">
        <f>'Giá VL'!V16</f>
        <v>15000</v>
      </c>
      <c r="I20" s="858">
        <f t="shared" si="1"/>
        <v>45056.55000000001</v>
      </c>
      <c r="J20" s="9">
        <f t="shared" si="2"/>
        <v>0</v>
      </c>
      <c r="K20" s="9">
        <f t="shared" si="3"/>
        <v>0</v>
      </c>
      <c r="L20" s="600"/>
      <c r="M20" s="600"/>
      <c r="N20" s="600"/>
      <c r="O20" s="600"/>
      <c r="P20" s="600"/>
      <c r="Q20" s="600"/>
      <c r="R20" s="600"/>
      <c r="S20" s="600"/>
      <c r="T20" s="600"/>
      <c r="U20" s="600"/>
      <c r="V20" s="600"/>
      <c r="W20" s="600"/>
      <c r="X20" s="600"/>
      <c r="Y20" s="600"/>
      <c r="Z20" s="600"/>
      <c r="AA20" s="600"/>
    </row>
    <row r="21" spans="1:27" ht="15" customHeight="1" x14ac:dyDescent="0.25">
      <c r="A21" s="481">
        <v>15</v>
      </c>
      <c r="B21" s="109" t="s">
        <v>218</v>
      </c>
      <c r="C21" s="43" t="s">
        <v>1165</v>
      </c>
      <c r="D21" s="109" t="s">
        <v>460</v>
      </c>
      <c r="E21" s="23">
        <f>THVL!J34</f>
        <v>3.2674400000000001</v>
      </c>
      <c r="F21" s="858">
        <f>'Giá VL'!G17</f>
        <v>24500</v>
      </c>
      <c r="G21" s="858">
        <f>'Giá VL'!J17</f>
        <v>24500</v>
      </c>
      <c r="H21" s="858">
        <f>'Giá VL'!V17</f>
        <v>24500</v>
      </c>
      <c r="I21" s="858">
        <f t="shared" si="1"/>
        <v>80052.28</v>
      </c>
      <c r="J21" s="9">
        <f t="shared" si="2"/>
        <v>0</v>
      </c>
      <c r="K21" s="9">
        <f t="shared" si="3"/>
        <v>0</v>
      </c>
      <c r="L21" s="600"/>
      <c r="M21" s="600"/>
      <c r="N21" s="600"/>
      <c r="O21" s="600"/>
      <c r="P21" s="600"/>
      <c r="Q21" s="600"/>
      <c r="R21" s="600"/>
      <c r="S21" s="600"/>
      <c r="T21" s="600"/>
      <c r="U21" s="600"/>
      <c r="V21" s="600"/>
      <c r="W21" s="600"/>
      <c r="X21" s="600"/>
      <c r="Y21" s="600"/>
      <c r="Z21" s="600"/>
      <c r="AA21" s="600"/>
    </row>
    <row r="22" spans="1:27" ht="15" customHeight="1" x14ac:dyDescent="0.25">
      <c r="A22" s="481">
        <v>16</v>
      </c>
      <c r="B22" s="109" t="s">
        <v>379</v>
      </c>
      <c r="C22" s="43" t="s">
        <v>209</v>
      </c>
      <c r="D22" s="109" t="s">
        <v>460</v>
      </c>
      <c r="E22" s="23">
        <f>THVL!J36</f>
        <v>65.141999999999996</v>
      </c>
      <c r="F22" s="858">
        <f>'Giá VL'!G18</f>
        <v>16300</v>
      </c>
      <c r="G22" s="858">
        <f>'Giá VL'!J18</f>
        <v>16300</v>
      </c>
      <c r="H22" s="858">
        <f>'Giá VL'!V18</f>
        <v>16380.8517124556</v>
      </c>
      <c r="I22" s="858">
        <f t="shared" si="1"/>
        <v>1067081.4422527826</v>
      </c>
      <c r="J22" s="9">
        <f t="shared" si="2"/>
        <v>80.851712455600136</v>
      </c>
      <c r="K22" s="9">
        <f t="shared" si="3"/>
        <v>5266.8422527827788</v>
      </c>
      <c r="L22" s="600"/>
      <c r="M22" s="600"/>
      <c r="N22" s="600"/>
      <c r="O22" s="600"/>
      <c r="P22" s="600"/>
      <c r="Q22" s="600"/>
      <c r="R22" s="600"/>
      <c r="S22" s="600"/>
      <c r="T22" s="600"/>
      <c r="U22" s="600"/>
      <c r="V22" s="600"/>
      <c r="W22" s="600"/>
      <c r="X22" s="600"/>
      <c r="Y22" s="600"/>
      <c r="Z22" s="600"/>
      <c r="AA22" s="600"/>
    </row>
    <row r="23" spans="1:27" ht="15" customHeight="1" x14ac:dyDescent="0.25">
      <c r="A23" s="481">
        <v>17</v>
      </c>
      <c r="B23" s="109" t="s">
        <v>762</v>
      </c>
      <c r="C23" s="43" t="s">
        <v>1191</v>
      </c>
      <c r="D23" s="109" t="s">
        <v>460</v>
      </c>
      <c r="E23" s="23">
        <f>THVL!J38</f>
        <v>129607.15000000001</v>
      </c>
      <c r="F23" s="858">
        <f>'Giá VL'!G19</f>
        <v>1330</v>
      </c>
      <c r="G23" s="858">
        <f>'Giá VL'!J19</f>
        <v>1550</v>
      </c>
      <c r="H23" s="858">
        <f>'Giá VL'!V19</f>
        <v>1705.1648223132001</v>
      </c>
      <c r="I23" s="858">
        <f t="shared" si="1"/>
        <v>221001552.90027028</v>
      </c>
      <c r="J23" s="9">
        <f t="shared" si="2"/>
        <v>375.16482231320015</v>
      </c>
      <c r="K23" s="9">
        <f t="shared" si="3"/>
        <v>48624043.400270283</v>
      </c>
      <c r="L23" s="600"/>
      <c r="M23" s="600"/>
      <c r="N23" s="600"/>
      <c r="O23" s="600"/>
      <c r="P23" s="600"/>
      <c r="Q23" s="600"/>
      <c r="R23" s="600"/>
      <c r="S23" s="600"/>
      <c r="T23" s="600"/>
      <c r="U23" s="600"/>
      <c r="V23" s="600"/>
      <c r="W23" s="600"/>
      <c r="X23" s="600"/>
      <c r="Y23" s="600"/>
      <c r="Z23" s="600"/>
      <c r="AA23" s="600"/>
    </row>
    <row r="24" spans="1:27" ht="15" customHeight="1" x14ac:dyDescent="0.25">
      <c r="A24" s="481">
        <v>18</v>
      </c>
      <c r="B24" s="109" t="s">
        <v>429</v>
      </c>
      <c r="C24" s="43" t="s">
        <v>1351</v>
      </c>
      <c r="D24" s="109" t="s">
        <v>1086</v>
      </c>
      <c r="E24" s="23">
        <f>THVL!J40</f>
        <v>572.15899999999999</v>
      </c>
      <c r="F24" s="858">
        <v>0</v>
      </c>
      <c r="G24" s="858">
        <v>0</v>
      </c>
      <c r="H24" s="858">
        <v>0</v>
      </c>
      <c r="I24" s="858">
        <v>8684454.5726140998</v>
      </c>
      <c r="J24" s="9">
        <f t="shared" si="2"/>
        <v>0</v>
      </c>
      <c r="K24" s="9">
        <f t="shared" si="3"/>
        <v>0</v>
      </c>
      <c r="L24" s="600"/>
      <c r="M24" s="600"/>
      <c r="N24" s="600"/>
      <c r="O24" s="600"/>
      <c r="P24" s="600"/>
      <c r="Q24" s="600"/>
      <c r="R24" s="600"/>
      <c r="S24" s="600"/>
      <c r="T24" s="600"/>
      <c r="U24" s="600"/>
      <c r="V24" s="600"/>
      <c r="W24" s="600"/>
      <c r="X24" s="600"/>
      <c r="Y24" s="600"/>
      <c r="Z24" s="600"/>
      <c r="AA24" s="600"/>
    </row>
    <row r="25" spans="1:27" ht="14.1" customHeight="1" x14ac:dyDescent="0.25">
      <c r="A25" s="286"/>
      <c r="B25" s="169"/>
      <c r="C25" s="96"/>
      <c r="D25" s="169"/>
      <c r="E25" s="459"/>
      <c r="F25" s="9"/>
      <c r="G25" s="9"/>
      <c r="H25" s="9"/>
      <c r="I25" s="9"/>
      <c r="J25" s="9"/>
      <c r="K25" s="9"/>
      <c r="L25" s="600"/>
      <c r="M25" s="600"/>
      <c r="N25" s="600"/>
      <c r="O25" s="600"/>
      <c r="P25" s="600"/>
      <c r="Q25" s="600"/>
      <c r="R25" s="600"/>
      <c r="S25" s="600"/>
      <c r="T25" s="600"/>
      <c r="U25" s="600"/>
      <c r="V25" s="600"/>
      <c r="W25" s="600"/>
      <c r="X25" s="600"/>
      <c r="Y25" s="600"/>
      <c r="Z25" s="600"/>
      <c r="AA25" s="600"/>
    </row>
    <row r="26" spans="1:27" ht="15" customHeight="1" x14ac:dyDescent="0.25">
      <c r="A26" s="598" t="s">
        <v>1037</v>
      </c>
      <c r="B26" s="374"/>
      <c r="C26" s="374" t="s">
        <v>85</v>
      </c>
      <c r="D26" s="374"/>
      <c r="E26" s="719"/>
      <c r="F26" s="344"/>
      <c r="G26" s="344"/>
      <c r="H26" s="344"/>
      <c r="I26" s="344">
        <f t="shared" ref="I26:K26" si="4">ROUND(SUM(I27:I33),0)</f>
        <v>198995726</v>
      </c>
      <c r="J26" s="344">
        <f t="shared" si="4"/>
        <v>0</v>
      </c>
      <c r="K26" s="344">
        <f t="shared" si="4"/>
        <v>0</v>
      </c>
      <c r="L26" s="600"/>
      <c r="M26" s="600"/>
      <c r="N26" s="600"/>
      <c r="O26" s="600"/>
      <c r="P26" s="600"/>
      <c r="Q26" s="600"/>
      <c r="R26" s="600"/>
      <c r="S26" s="600"/>
      <c r="T26" s="600"/>
      <c r="U26" s="600"/>
      <c r="V26" s="600"/>
      <c r="W26" s="600"/>
      <c r="X26" s="600"/>
      <c r="Y26" s="600"/>
      <c r="Z26" s="600"/>
      <c r="AA26" s="600"/>
    </row>
    <row r="27" spans="1:27" ht="16.149999999999999" customHeight="1" x14ac:dyDescent="0.25">
      <c r="A27" s="286">
        <v>1</v>
      </c>
      <c r="B27" s="169" t="s">
        <v>591</v>
      </c>
      <c r="C27" s="96" t="s">
        <v>21</v>
      </c>
      <c r="D27" s="169" t="s">
        <v>239</v>
      </c>
      <c r="E27" s="459">
        <f>THNC!J6</f>
        <v>57.928791999999994</v>
      </c>
      <c r="F27" s="9">
        <f>'Giá NC'!G5</f>
        <v>228618</v>
      </c>
      <c r="G27" s="9">
        <f>'Giá NC'!H5</f>
        <v>228618</v>
      </c>
      <c r="H27" s="9">
        <f>'Giá NC'!K5</f>
        <v>228618</v>
      </c>
      <c r="I27" s="9">
        <f t="shared" ref="I27:I33" si="5">E27*H27</f>
        <v>13243564.569455998</v>
      </c>
      <c r="J27" s="9">
        <f t="shared" ref="J27:J33" si="6">H27-F27</f>
        <v>0</v>
      </c>
      <c r="K27" s="9">
        <f t="shared" ref="K27:K33" si="7">H27*E27-F27*E27</f>
        <v>0</v>
      </c>
      <c r="L27" s="600"/>
      <c r="M27" s="600"/>
      <c r="N27" s="600"/>
      <c r="O27" s="600"/>
      <c r="P27" s="600"/>
      <c r="Q27" s="600"/>
      <c r="R27" s="600"/>
      <c r="S27" s="600"/>
      <c r="T27" s="600"/>
      <c r="U27" s="600"/>
      <c r="V27" s="600"/>
      <c r="W27" s="600"/>
      <c r="X27" s="600"/>
      <c r="Y27" s="600"/>
      <c r="Z27" s="600"/>
      <c r="AA27" s="600"/>
    </row>
    <row r="28" spans="1:27" ht="16.149999999999999" customHeight="1" x14ac:dyDescent="0.25">
      <c r="A28" s="286">
        <v>2</v>
      </c>
      <c r="B28" s="169" t="s">
        <v>1103</v>
      </c>
      <c r="C28" s="96" t="s">
        <v>388</v>
      </c>
      <c r="D28" s="169" t="s">
        <v>239</v>
      </c>
      <c r="E28" s="459">
        <f>THNC!J12</f>
        <v>3.8325</v>
      </c>
      <c r="F28" s="9">
        <f>'Giá NC'!G6</f>
        <v>246908</v>
      </c>
      <c r="G28" s="9">
        <f>'Giá NC'!H6</f>
        <v>246908</v>
      </c>
      <c r="H28" s="9">
        <f>'Giá NC'!K6</f>
        <v>246908</v>
      </c>
      <c r="I28" s="9">
        <f t="shared" si="5"/>
        <v>946274.91</v>
      </c>
      <c r="J28" s="9">
        <f t="shared" si="6"/>
        <v>0</v>
      </c>
      <c r="K28" s="9">
        <f t="shared" si="7"/>
        <v>0</v>
      </c>
      <c r="L28" s="600"/>
      <c r="M28" s="600"/>
      <c r="N28" s="600"/>
      <c r="O28" s="600"/>
      <c r="P28" s="600"/>
      <c r="Q28" s="600"/>
      <c r="R28" s="600"/>
      <c r="S28" s="600"/>
      <c r="T28" s="600"/>
      <c r="U28" s="600"/>
      <c r="V28" s="600"/>
      <c r="W28" s="600"/>
      <c r="X28" s="600"/>
      <c r="Y28" s="600"/>
      <c r="Z28" s="600"/>
      <c r="AA28" s="600"/>
    </row>
    <row r="29" spans="1:27" ht="16.149999999999999" customHeight="1" x14ac:dyDescent="0.25">
      <c r="A29" s="286">
        <v>3</v>
      </c>
      <c r="B29" s="169" t="s">
        <v>1055</v>
      </c>
      <c r="C29" s="96" t="s">
        <v>695</v>
      </c>
      <c r="D29" s="169" t="s">
        <v>239</v>
      </c>
      <c r="E29" s="459">
        <f>THNC!J15</f>
        <v>561.93175000000019</v>
      </c>
      <c r="F29" s="9">
        <f>'Giá NC'!G7</f>
        <v>270000</v>
      </c>
      <c r="G29" s="9">
        <f>'Giá NC'!H7</f>
        <v>270000</v>
      </c>
      <c r="H29" s="9">
        <f>'Giá NC'!K7</f>
        <v>270000</v>
      </c>
      <c r="I29" s="9">
        <f t="shared" si="5"/>
        <v>151721572.50000006</v>
      </c>
      <c r="J29" s="9">
        <f t="shared" si="6"/>
        <v>0</v>
      </c>
      <c r="K29" s="9">
        <f t="shared" si="7"/>
        <v>0</v>
      </c>
      <c r="L29" s="600"/>
      <c r="M29" s="600"/>
      <c r="N29" s="600"/>
      <c r="O29" s="600"/>
      <c r="P29" s="600"/>
      <c r="Q29" s="600"/>
      <c r="R29" s="600"/>
      <c r="S29" s="600"/>
      <c r="T29" s="600"/>
      <c r="U29" s="600"/>
      <c r="V29" s="600"/>
      <c r="W29" s="600"/>
      <c r="X29" s="600"/>
      <c r="Y29" s="600"/>
      <c r="Z29" s="600"/>
      <c r="AA29" s="600"/>
    </row>
    <row r="30" spans="1:27" ht="16.149999999999999" customHeight="1" x14ac:dyDescent="0.25">
      <c r="A30" s="286">
        <v>4</v>
      </c>
      <c r="B30" s="169" t="s">
        <v>1295</v>
      </c>
      <c r="C30" s="96" t="s">
        <v>1147</v>
      </c>
      <c r="D30" s="169" t="s">
        <v>239</v>
      </c>
      <c r="E30" s="459">
        <f>THNC!J21</f>
        <v>23.782</v>
      </c>
      <c r="F30" s="9">
        <f>'Giá NC'!G8</f>
        <v>293092</v>
      </c>
      <c r="G30" s="9">
        <f>'Giá NC'!H8</f>
        <v>293092</v>
      </c>
      <c r="H30" s="9">
        <f>'Giá NC'!K8</f>
        <v>293092</v>
      </c>
      <c r="I30" s="9">
        <f t="shared" si="5"/>
        <v>6970313.9440000001</v>
      </c>
      <c r="J30" s="9">
        <f t="shared" si="6"/>
        <v>0</v>
      </c>
      <c r="K30" s="9">
        <f t="shared" si="7"/>
        <v>0</v>
      </c>
      <c r="L30" s="600"/>
      <c r="M30" s="600"/>
      <c r="N30" s="600"/>
      <c r="O30" s="600"/>
      <c r="P30" s="600"/>
      <c r="Q30" s="600"/>
      <c r="R30" s="600"/>
      <c r="S30" s="600"/>
      <c r="T30" s="600"/>
      <c r="U30" s="600"/>
      <c r="V30" s="600"/>
      <c r="W30" s="600"/>
      <c r="X30" s="600"/>
      <c r="Y30" s="600"/>
      <c r="Z30" s="600"/>
      <c r="AA30" s="600"/>
    </row>
    <row r="31" spans="1:27" ht="16.149999999999999" customHeight="1" x14ac:dyDescent="0.25">
      <c r="A31" s="286">
        <v>5</v>
      </c>
      <c r="B31" s="169" t="s">
        <v>172</v>
      </c>
      <c r="C31" s="96" t="s">
        <v>906</v>
      </c>
      <c r="D31" s="169" t="s">
        <v>1258</v>
      </c>
      <c r="E31" s="459">
        <f>THNC!J23</f>
        <v>1859.5</v>
      </c>
      <c r="F31" s="9">
        <v>12000</v>
      </c>
      <c r="G31" s="9">
        <v>12000</v>
      </c>
      <c r="H31" s="9">
        <v>12000</v>
      </c>
      <c r="I31" s="9">
        <f t="shared" si="5"/>
        <v>22314000</v>
      </c>
      <c r="J31" s="9">
        <f t="shared" si="6"/>
        <v>0</v>
      </c>
      <c r="K31" s="9">
        <f t="shared" si="7"/>
        <v>0</v>
      </c>
      <c r="L31" s="600"/>
      <c r="M31" s="600"/>
      <c r="N31" s="600"/>
      <c r="O31" s="600"/>
      <c r="P31" s="600"/>
      <c r="Q31" s="600"/>
      <c r="R31" s="600"/>
      <c r="S31" s="600"/>
      <c r="T31" s="600"/>
      <c r="U31" s="600"/>
      <c r="V31" s="600"/>
      <c r="W31" s="600"/>
      <c r="X31" s="600"/>
      <c r="Y31" s="600"/>
      <c r="Z31" s="600"/>
      <c r="AA31" s="600"/>
    </row>
    <row r="32" spans="1:27" ht="16.149999999999999" customHeight="1" x14ac:dyDescent="0.25">
      <c r="A32" s="286">
        <v>6</v>
      </c>
      <c r="B32" s="169" t="s">
        <v>172</v>
      </c>
      <c r="C32" s="96" t="s">
        <v>863</v>
      </c>
      <c r="D32" s="169" t="s">
        <v>239</v>
      </c>
      <c r="E32" s="459">
        <f>THNC!J25</f>
        <v>4</v>
      </c>
      <c r="F32" s="9">
        <v>450000</v>
      </c>
      <c r="G32" s="9">
        <v>450000</v>
      </c>
      <c r="H32" s="9">
        <v>450000</v>
      </c>
      <c r="I32" s="9">
        <f t="shared" si="5"/>
        <v>1800000</v>
      </c>
      <c r="J32" s="9">
        <f t="shared" si="6"/>
        <v>0</v>
      </c>
      <c r="K32" s="9">
        <f t="shared" si="7"/>
        <v>0</v>
      </c>
      <c r="L32" s="600"/>
      <c r="M32" s="600"/>
      <c r="N32" s="600"/>
      <c r="O32" s="600"/>
      <c r="P32" s="600"/>
      <c r="Q32" s="600"/>
      <c r="R32" s="600"/>
      <c r="S32" s="600"/>
      <c r="T32" s="600"/>
      <c r="U32" s="600"/>
      <c r="V32" s="600"/>
      <c r="W32" s="600"/>
      <c r="X32" s="600"/>
      <c r="Y32" s="600"/>
      <c r="Z32" s="600"/>
      <c r="AA32" s="600"/>
    </row>
    <row r="33" spans="1:27" ht="16.149999999999999" customHeight="1" x14ac:dyDescent="0.25">
      <c r="A33" s="286">
        <v>7</v>
      </c>
      <c r="B33" s="169" t="s">
        <v>172</v>
      </c>
      <c r="C33" s="96" t="s">
        <v>1003</v>
      </c>
      <c r="D33" s="169" t="s">
        <v>418</v>
      </c>
      <c r="E33" s="459">
        <f>THNC!J27</f>
        <v>2</v>
      </c>
      <c r="F33" s="9">
        <v>1000000</v>
      </c>
      <c r="G33" s="9">
        <v>1000000</v>
      </c>
      <c r="H33" s="9">
        <v>1000000</v>
      </c>
      <c r="I33" s="9">
        <f t="shared" si="5"/>
        <v>2000000</v>
      </c>
      <c r="J33" s="9">
        <f t="shared" si="6"/>
        <v>0</v>
      </c>
      <c r="K33" s="9">
        <f t="shared" si="7"/>
        <v>0</v>
      </c>
      <c r="L33" s="600"/>
      <c r="M33" s="600"/>
      <c r="N33" s="600"/>
      <c r="O33" s="600"/>
      <c r="P33" s="600"/>
      <c r="Q33" s="600"/>
      <c r="R33" s="600"/>
      <c r="S33" s="600"/>
      <c r="T33" s="600"/>
      <c r="U33" s="600"/>
      <c r="V33" s="600"/>
      <c r="W33" s="600"/>
      <c r="X33" s="600"/>
      <c r="Y33" s="600"/>
      <c r="Z33" s="600"/>
      <c r="AA33" s="600"/>
    </row>
    <row r="34" spans="1:27" ht="16.149999999999999" customHeight="1" x14ac:dyDescent="0.25">
      <c r="A34" s="286"/>
      <c r="B34" s="169"/>
      <c r="C34" s="96"/>
      <c r="D34" s="169"/>
      <c r="E34" s="459"/>
      <c r="F34" s="9"/>
      <c r="G34" s="9"/>
      <c r="H34" s="9"/>
      <c r="I34" s="9"/>
      <c r="J34" s="9"/>
      <c r="K34" s="9"/>
      <c r="L34" s="600"/>
      <c r="M34" s="600"/>
      <c r="N34" s="600"/>
      <c r="O34" s="600"/>
      <c r="P34" s="600"/>
      <c r="Q34" s="600"/>
      <c r="R34" s="600"/>
      <c r="S34" s="600"/>
      <c r="T34" s="600"/>
      <c r="U34" s="600"/>
      <c r="V34" s="600"/>
      <c r="W34" s="600"/>
      <c r="X34" s="600"/>
      <c r="Y34" s="600"/>
      <c r="Z34" s="600"/>
      <c r="AA34" s="600"/>
    </row>
    <row r="35" spans="1:27" ht="15" customHeight="1" x14ac:dyDescent="0.25">
      <c r="A35" s="598" t="s">
        <v>960</v>
      </c>
      <c r="B35" s="374"/>
      <c r="C35" s="374" t="s">
        <v>868</v>
      </c>
      <c r="D35" s="374"/>
      <c r="E35" s="719"/>
      <c r="F35" s="344"/>
      <c r="G35" s="344"/>
      <c r="H35" s="344"/>
      <c r="I35" s="344">
        <f t="shared" ref="I35:K35" si="8">ROUND(SUM(I36:I55),0)</f>
        <v>79646596</v>
      </c>
      <c r="J35" s="344">
        <f t="shared" si="8"/>
        <v>0</v>
      </c>
      <c r="K35" s="344">
        <f t="shared" si="8"/>
        <v>0</v>
      </c>
      <c r="L35" s="600"/>
      <c r="M35" s="600"/>
      <c r="N35" s="600"/>
      <c r="O35" s="600"/>
      <c r="P35" s="600"/>
      <c r="Q35" s="600"/>
      <c r="R35" s="600"/>
      <c r="S35" s="600"/>
      <c r="T35" s="600"/>
      <c r="U35" s="600"/>
      <c r="V35" s="600"/>
      <c r="W35" s="600"/>
      <c r="X35" s="600"/>
      <c r="Y35" s="600"/>
      <c r="Z35" s="600"/>
      <c r="AA35" s="600"/>
    </row>
    <row r="36" spans="1:27" ht="15" customHeight="1" x14ac:dyDescent="0.25">
      <c r="A36" s="286">
        <v>1</v>
      </c>
      <c r="B36" s="169" t="s">
        <v>445</v>
      </c>
      <c r="C36" s="96" t="s">
        <v>255</v>
      </c>
      <c r="D36" s="169" t="s">
        <v>1272</v>
      </c>
      <c r="E36" s="459">
        <f>THM!J6</f>
        <v>10.607999999999999</v>
      </c>
      <c r="F36" s="9">
        <f>'Giá Máy'!G5</f>
        <v>21147</v>
      </c>
      <c r="G36" s="9">
        <f>'Giá Máy'!H5</f>
        <v>21147</v>
      </c>
      <c r="H36" s="9">
        <f>'Giá Máy'!O5</f>
        <v>21147</v>
      </c>
      <c r="I36" s="9">
        <f t="shared" ref="I36:I54" si="9">E36*H36</f>
        <v>224327.37599999996</v>
      </c>
      <c r="J36" s="9">
        <f t="shared" ref="J36:J55" si="10">H36-F36</f>
        <v>0</v>
      </c>
      <c r="K36" s="9">
        <f t="shared" ref="K36:K55" si="11">H36*E36-F36*E36</f>
        <v>0</v>
      </c>
      <c r="L36" s="600"/>
      <c r="M36" s="600"/>
      <c r="N36" s="600"/>
      <c r="O36" s="600"/>
      <c r="P36" s="600"/>
      <c r="Q36" s="600"/>
      <c r="R36" s="600"/>
      <c r="S36" s="600"/>
      <c r="T36" s="600"/>
      <c r="U36" s="600"/>
      <c r="V36" s="600"/>
      <c r="W36" s="600"/>
      <c r="X36" s="600"/>
      <c r="Y36" s="600"/>
      <c r="Z36" s="600"/>
      <c r="AA36" s="600"/>
    </row>
    <row r="37" spans="1:27" ht="15" customHeight="1" x14ac:dyDescent="0.25">
      <c r="A37" s="286">
        <v>2</v>
      </c>
      <c r="B37" s="169" t="s">
        <v>701</v>
      </c>
      <c r="C37" s="96" t="s">
        <v>1460</v>
      </c>
      <c r="D37" s="169" t="s">
        <v>1272</v>
      </c>
      <c r="E37" s="459">
        <f>THM!J8</f>
        <v>0.185</v>
      </c>
      <c r="F37" s="9">
        <f>'Giá Máy'!G6</f>
        <v>1630308</v>
      </c>
      <c r="G37" s="9">
        <f>'Giá Máy'!H6</f>
        <v>1630308</v>
      </c>
      <c r="H37" s="9">
        <f>'Giá Máy'!O6</f>
        <v>1630308</v>
      </c>
      <c r="I37" s="9">
        <f t="shared" si="9"/>
        <v>301606.98</v>
      </c>
      <c r="J37" s="9">
        <f t="shared" si="10"/>
        <v>0</v>
      </c>
      <c r="K37" s="9">
        <f t="shared" si="11"/>
        <v>0</v>
      </c>
      <c r="L37" s="600"/>
      <c r="M37" s="600"/>
      <c r="N37" s="600"/>
      <c r="O37" s="600"/>
      <c r="P37" s="600"/>
      <c r="Q37" s="600"/>
      <c r="R37" s="600"/>
      <c r="S37" s="600"/>
      <c r="T37" s="600"/>
      <c r="U37" s="600"/>
      <c r="V37" s="600"/>
      <c r="W37" s="600"/>
      <c r="X37" s="600"/>
      <c r="Y37" s="600"/>
      <c r="Z37" s="600"/>
      <c r="AA37" s="600"/>
    </row>
    <row r="38" spans="1:27" ht="15" customHeight="1" x14ac:dyDescent="0.25">
      <c r="A38" s="286">
        <v>3</v>
      </c>
      <c r="B38" s="169" t="s">
        <v>369</v>
      </c>
      <c r="C38" s="96" t="s">
        <v>356</v>
      </c>
      <c r="D38" s="169" t="s">
        <v>1272</v>
      </c>
      <c r="E38" s="459">
        <f>THM!J10</f>
        <v>7.9618000000000011</v>
      </c>
      <c r="F38" s="9">
        <f>'Giá Máy'!G7</f>
        <v>316717</v>
      </c>
      <c r="G38" s="9">
        <f>'Giá Máy'!H7</f>
        <v>316717</v>
      </c>
      <c r="H38" s="9">
        <f>'Giá Máy'!O7</f>
        <v>316717</v>
      </c>
      <c r="I38" s="9">
        <f t="shared" si="9"/>
        <v>2521637.4106000005</v>
      </c>
      <c r="J38" s="9">
        <f t="shared" si="10"/>
        <v>0</v>
      </c>
      <c r="K38" s="9">
        <f t="shared" si="11"/>
        <v>0</v>
      </c>
      <c r="L38" s="600"/>
      <c r="M38" s="600"/>
      <c r="N38" s="600"/>
      <c r="O38" s="600"/>
      <c r="P38" s="600"/>
      <c r="Q38" s="600"/>
      <c r="R38" s="600"/>
      <c r="S38" s="600"/>
      <c r="T38" s="600"/>
      <c r="U38" s="600"/>
      <c r="V38" s="600"/>
      <c r="W38" s="600"/>
      <c r="X38" s="600"/>
      <c r="Y38" s="600"/>
      <c r="Z38" s="600"/>
      <c r="AA38" s="600"/>
    </row>
    <row r="39" spans="1:27" ht="15" customHeight="1" x14ac:dyDescent="0.25">
      <c r="A39" s="286">
        <v>4</v>
      </c>
      <c r="B39" s="169" t="s">
        <v>1395</v>
      </c>
      <c r="C39" s="96" t="s">
        <v>838</v>
      </c>
      <c r="D39" s="169" t="s">
        <v>1272</v>
      </c>
      <c r="E39" s="459">
        <f>THM!J12</f>
        <v>33.0991</v>
      </c>
      <c r="F39" s="9">
        <f>'Giá Máy'!G8</f>
        <v>276871</v>
      </c>
      <c r="G39" s="9">
        <f>'Giá Máy'!H8</f>
        <v>276871</v>
      </c>
      <c r="H39" s="9">
        <f>'Giá Máy'!O8</f>
        <v>276871</v>
      </c>
      <c r="I39" s="9">
        <f t="shared" si="9"/>
        <v>9164180.9160999991</v>
      </c>
      <c r="J39" s="9">
        <f t="shared" si="10"/>
        <v>0</v>
      </c>
      <c r="K39" s="9">
        <f t="shared" si="11"/>
        <v>0</v>
      </c>
      <c r="L39" s="600"/>
      <c r="M39" s="600"/>
      <c r="N39" s="600"/>
      <c r="O39" s="600"/>
      <c r="P39" s="600"/>
      <c r="Q39" s="600"/>
      <c r="R39" s="600"/>
      <c r="S39" s="600"/>
      <c r="T39" s="600"/>
      <c r="U39" s="600"/>
      <c r="V39" s="600"/>
      <c r="W39" s="600"/>
      <c r="X39" s="600"/>
      <c r="Y39" s="600"/>
      <c r="Z39" s="600"/>
      <c r="AA39" s="600"/>
    </row>
    <row r="40" spans="1:27" ht="15" customHeight="1" x14ac:dyDescent="0.25">
      <c r="A40" s="286">
        <v>5</v>
      </c>
      <c r="B40" s="169" t="s">
        <v>928</v>
      </c>
      <c r="C40" s="96" t="s">
        <v>195</v>
      </c>
      <c r="D40" s="169" t="s">
        <v>1272</v>
      </c>
      <c r="E40" s="459">
        <f>THM!J14</f>
        <v>5.6870000000000012</v>
      </c>
      <c r="F40" s="9">
        <f>'Giá Máy'!G9</f>
        <v>850000</v>
      </c>
      <c r="G40" s="9">
        <f>'Giá Máy'!H9</f>
        <v>850000</v>
      </c>
      <c r="H40" s="9">
        <f>'Giá Máy'!O9</f>
        <v>850000</v>
      </c>
      <c r="I40" s="9">
        <f t="shared" si="9"/>
        <v>4833950.0000000009</v>
      </c>
      <c r="J40" s="9">
        <f t="shared" si="10"/>
        <v>0</v>
      </c>
      <c r="K40" s="9">
        <f t="shared" si="11"/>
        <v>0</v>
      </c>
      <c r="L40" s="600"/>
      <c r="M40" s="600"/>
      <c r="N40" s="600"/>
      <c r="O40" s="600"/>
      <c r="P40" s="600"/>
      <c r="Q40" s="600"/>
      <c r="R40" s="600"/>
      <c r="S40" s="600"/>
      <c r="T40" s="600"/>
      <c r="U40" s="600"/>
      <c r="V40" s="600"/>
      <c r="W40" s="600"/>
      <c r="X40" s="600"/>
      <c r="Y40" s="600"/>
      <c r="Z40" s="600"/>
      <c r="AA40" s="600"/>
    </row>
    <row r="41" spans="1:27" ht="15" customHeight="1" x14ac:dyDescent="0.25">
      <c r="A41" s="286">
        <v>6</v>
      </c>
      <c r="B41" s="169" t="s">
        <v>1341</v>
      </c>
      <c r="C41" s="96" t="s">
        <v>571</v>
      </c>
      <c r="D41" s="169" t="s">
        <v>1272</v>
      </c>
      <c r="E41" s="459">
        <f>THM!J16</f>
        <v>33.0991</v>
      </c>
      <c r="F41" s="9">
        <f>'Giá Máy'!G10</f>
        <v>281279</v>
      </c>
      <c r="G41" s="9">
        <f>'Giá Máy'!H10</f>
        <v>281279</v>
      </c>
      <c r="H41" s="9">
        <f>'Giá Máy'!O10</f>
        <v>281279</v>
      </c>
      <c r="I41" s="9">
        <f t="shared" si="9"/>
        <v>9310081.7489</v>
      </c>
      <c r="J41" s="9">
        <f t="shared" si="10"/>
        <v>0</v>
      </c>
      <c r="K41" s="9">
        <f t="shared" si="11"/>
        <v>0</v>
      </c>
      <c r="L41" s="600"/>
      <c r="M41" s="600"/>
      <c r="N41" s="600"/>
      <c r="O41" s="600"/>
      <c r="P41" s="600"/>
      <c r="Q41" s="600"/>
      <c r="R41" s="600"/>
      <c r="S41" s="600"/>
      <c r="T41" s="600"/>
      <c r="U41" s="600"/>
      <c r="V41" s="600"/>
      <c r="W41" s="600"/>
      <c r="X41" s="600"/>
      <c r="Y41" s="600"/>
      <c r="Z41" s="600"/>
      <c r="AA41" s="600"/>
    </row>
    <row r="42" spans="1:27" ht="15" customHeight="1" x14ac:dyDescent="0.25">
      <c r="A42" s="286">
        <v>7</v>
      </c>
      <c r="B42" s="169" t="s">
        <v>921</v>
      </c>
      <c r="C42" s="96" t="s">
        <v>267</v>
      </c>
      <c r="D42" s="169" t="s">
        <v>1272</v>
      </c>
      <c r="E42" s="459">
        <f>THM!J18</f>
        <v>2.1255488000000002</v>
      </c>
      <c r="F42" s="9">
        <f>'Giá Máy'!G11</f>
        <v>2800000</v>
      </c>
      <c r="G42" s="9">
        <f>'Giá Máy'!H11</f>
        <v>2800000</v>
      </c>
      <c r="H42" s="9">
        <f>'Giá Máy'!O11</f>
        <v>2800000</v>
      </c>
      <c r="I42" s="9">
        <f t="shared" si="9"/>
        <v>5951536.6400000006</v>
      </c>
      <c r="J42" s="9">
        <f t="shared" si="10"/>
        <v>0</v>
      </c>
      <c r="K42" s="9">
        <f t="shared" si="11"/>
        <v>0</v>
      </c>
      <c r="L42" s="600"/>
      <c r="M42" s="600"/>
      <c r="N42" s="600"/>
      <c r="O42" s="600"/>
      <c r="P42" s="600"/>
      <c r="Q42" s="600"/>
      <c r="R42" s="600"/>
      <c r="S42" s="600"/>
      <c r="T42" s="600"/>
      <c r="U42" s="600"/>
      <c r="V42" s="600"/>
      <c r="W42" s="600"/>
      <c r="X42" s="600"/>
      <c r="Y42" s="600"/>
      <c r="Z42" s="600"/>
      <c r="AA42" s="600"/>
    </row>
    <row r="43" spans="1:27" ht="15" customHeight="1" x14ac:dyDescent="0.25">
      <c r="A43" s="286">
        <v>8</v>
      </c>
      <c r="B43" s="169" t="s">
        <v>68</v>
      </c>
      <c r="C43" s="96" t="s">
        <v>1060</v>
      </c>
      <c r="D43" s="169" t="s">
        <v>1272</v>
      </c>
      <c r="E43" s="459">
        <f>THM!J21</f>
        <v>0.51607919999999996</v>
      </c>
      <c r="F43" s="9">
        <f>'Giá Máy'!G12</f>
        <v>8635148</v>
      </c>
      <c r="G43" s="9">
        <f>'Giá Máy'!H12</f>
        <v>8635148</v>
      </c>
      <c r="H43" s="9">
        <f>'Giá Máy'!O12</f>
        <v>8635148</v>
      </c>
      <c r="I43" s="9">
        <f t="shared" si="9"/>
        <v>4456420.2717215996</v>
      </c>
      <c r="J43" s="9">
        <f t="shared" si="10"/>
        <v>0</v>
      </c>
      <c r="K43" s="9">
        <f t="shared" si="11"/>
        <v>0</v>
      </c>
      <c r="L43" s="600"/>
      <c r="M43" s="600"/>
      <c r="N43" s="600"/>
      <c r="O43" s="600"/>
      <c r="P43" s="600"/>
      <c r="Q43" s="600"/>
      <c r="R43" s="600"/>
      <c r="S43" s="600"/>
      <c r="T43" s="600"/>
      <c r="U43" s="600"/>
      <c r="V43" s="600"/>
      <c r="W43" s="600"/>
      <c r="X43" s="600"/>
      <c r="Y43" s="600"/>
      <c r="Z43" s="600"/>
      <c r="AA43" s="600"/>
    </row>
    <row r="44" spans="1:27" ht="15" customHeight="1" x14ac:dyDescent="0.25">
      <c r="A44" s="286">
        <v>9</v>
      </c>
      <c r="B44" s="169" t="s">
        <v>1203</v>
      </c>
      <c r="C44" s="96" t="s">
        <v>395</v>
      </c>
      <c r="D44" s="169" t="s">
        <v>1272</v>
      </c>
      <c r="E44" s="459">
        <f>THM!J23</f>
        <v>0.86856</v>
      </c>
      <c r="F44" s="9">
        <f>'Giá Máy'!G13</f>
        <v>426986</v>
      </c>
      <c r="G44" s="9">
        <f>'Giá Máy'!H13</f>
        <v>426986</v>
      </c>
      <c r="H44" s="9">
        <f>'Giá Máy'!O13</f>
        <v>426986</v>
      </c>
      <c r="I44" s="9">
        <f t="shared" si="9"/>
        <v>370862.96016000002</v>
      </c>
      <c r="J44" s="9">
        <f t="shared" si="10"/>
        <v>0</v>
      </c>
      <c r="K44" s="9">
        <f t="shared" si="11"/>
        <v>0</v>
      </c>
      <c r="L44" s="600"/>
      <c r="M44" s="600"/>
      <c r="N44" s="600"/>
      <c r="O44" s="600"/>
      <c r="P44" s="600"/>
      <c r="Q44" s="600"/>
      <c r="R44" s="600"/>
      <c r="S44" s="600"/>
      <c r="T44" s="600"/>
      <c r="U44" s="600"/>
      <c r="V44" s="600"/>
      <c r="W44" s="600"/>
      <c r="X44" s="600"/>
      <c r="Y44" s="600"/>
      <c r="Z44" s="600"/>
      <c r="AA44" s="600"/>
    </row>
    <row r="45" spans="1:27" ht="15" customHeight="1" x14ac:dyDescent="0.25">
      <c r="A45" s="286">
        <v>10</v>
      </c>
      <c r="B45" s="169" t="s">
        <v>402</v>
      </c>
      <c r="C45" s="96" t="s">
        <v>1459</v>
      </c>
      <c r="D45" s="169" t="s">
        <v>1272</v>
      </c>
      <c r="E45" s="459">
        <f>THM!J25</f>
        <v>0.13</v>
      </c>
      <c r="F45" s="9">
        <f>'Giá Máy'!G14</f>
        <v>1151395</v>
      </c>
      <c r="G45" s="9">
        <f>'Giá Máy'!H14</f>
        <v>1151395</v>
      </c>
      <c r="H45" s="9">
        <f>'Giá Máy'!O14</f>
        <v>1151395</v>
      </c>
      <c r="I45" s="9">
        <f t="shared" si="9"/>
        <v>149681.35</v>
      </c>
      <c r="J45" s="9">
        <f t="shared" si="10"/>
        <v>0</v>
      </c>
      <c r="K45" s="9">
        <f t="shared" si="11"/>
        <v>0</v>
      </c>
      <c r="L45" s="600"/>
      <c r="M45" s="600"/>
      <c r="N45" s="600"/>
      <c r="O45" s="600"/>
      <c r="P45" s="600"/>
      <c r="Q45" s="600"/>
      <c r="R45" s="600"/>
      <c r="S45" s="600"/>
      <c r="T45" s="600"/>
      <c r="U45" s="600"/>
      <c r="V45" s="600"/>
      <c r="W45" s="600"/>
      <c r="X45" s="600"/>
      <c r="Y45" s="600"/>
      <c r="Z45" s="600"/>
      <c r="AA45" s="600"/>
    </row>
    <row r="46" spans="1:27" ht="15" customHeight="1" x14ac:dyDescent="0.25">
      <c r="A46" s="286">
        <v>11</v>
      </c>
      <c r="B46" s="169" t="s">
        <v>647</v>
      </c>
      <c r="C46" s="96" t="s">
        <v>166</v>
      </c>
      <c r="D46" s="169" t="s">
        <v>1272</v>
      </c>
      <c r="E46" s="459">
        <f>THM!J27</f>
        <v>5.7119999999999997</v>
      </c>
      <c r="F46" s="9">
        <f>'Giá Máy'!G15</f>
        <v>1184116</v>
      </c>
      <c r="G46" s="9">
        <f>'Giá Máy'!H15</f>
        <v>1184116</v>
      </c>
      <c r="H46" s="9">
        <f>'Giá Máy'!O15</f>
        <v>1184116</v>
      </c>
      <c r="I46" s="9">
        <f t="shared" si="9"/>
        <v>6763670.5919999992</v>
      </c>
      <c r="J46" s="9">
        <f t="shared" si="10"/>
        <v>0</v>
      </c>
      <c r="K46" s="9">
        <f t="shared" si="11"/>
        <v>0</v>
      </c>
      <c r="L46" s="600"/>
      <c r="M46" s="600"/>
      <c r="N46" s="600"/>
      <c r="O46" s="600"/>
      <c r="P46" s="600"/>
      <c r="Q46" s="600"/>
      <c r="R46" s="600"/>
      <c r="S46" s="600"/>
      <c r="T46" s="600"/>
      <c r="U46" s="600"/>
      <c r="V46" s="600"/>
      <c r="W46" s="600"/>
      <c r="X46" s="600"/>
      <c r="Y46" s="600"/>
      <c r="Z46" s="600"/>
      <c r="AA46" s="600"/>
    </row>
    <row r="47" spans="1:27" ht="15" customHeight="1" x14ac:dyDescent="0.25">
      <c r="A47" s="286">
        <v>12</v>
      </c>
      <c r="B47" s="169" t="s">
        <v>698</v>
      </c>
      <c r="C47" s="96" t="s">
        <v>606</v>
      </c>
      <c r="D47" s="169" t="s">
        <v>1272</v>
      </c>
      <c r="E47" s="459">
        <f>THM!J29</f>
        <v>35.330500000000001</v>
      </c>
      <c r="F47" s="9">
        <f>'Giá Máy'!G16</f>
        <v>326306</v>
      </c>
      <c r="G47" s="9">
        <f>'Giá Máy'!H16</f>
        <v>326306</v>
      </c>
      <c r="H47" s="9">
        <f>'Giá Máy'!O16</f>
        <v>326306</v>
      </c>
      <c r="I47" s="9">
        <f t="shared" si="9"/>
        <v>11528554.132999999</v>
      </c>
      <c r="J47" s="9">
        <f t="shared" si="10"/>
        <v>0</v>
      </c>
      <c r="K47" s="9">
        <f t="shared" si="11"/>
        <v>0</v>
      </c>
      <c r="L47" s="600"/>
      <c r="M47" s="600"/>
      <c r="N47" s="600"/>
      <c r="O47" s="600"/>
      <c r="P47" s="600"/>
      <c r="Q47" s="600"/>
      <c r="R47" s="600"/>
      <c r="S47" s="600"/>
      <c r="T47" s="600"/>
      <c r="U47" s="600"/>
      <c r="V47" s="600"/>
      <c r="W47" s="600"/>
      <c r="X47" s="600"/>
      <c r="Y47" s="600"/>
      <c r="Z47" s="600"/>
      <c r="AA47" s="600"/>
    </row>
    <row r="48" spans="1:27" ht="15" customHeight="1" x14ac:dyDescent="0.25">
      <c r="A48" s="286">
        <v>13</v>
      </c>
      <c r="B48" s="169" t="s">
        <v>111</v>
      </c>
      <c r="C48" s="96" t="s">
        <v>1289</v>
      </c>
      <c r="D48" s="169" t="s">
        <v>1272</v>
      </c>
      <c r="E48" s="459">
        <f>THM!J31</f>
        <v>1.6718208000000001</v>
      </c>
      <c r="F48" s="9">
        <f>'Giá Máy'!G17</f>
        <v>2347866</v>
      </c>
      <c r="G48" s="9">
        <f>'Giá Máy'!H17</f>
        <v>2347866</v>
      </c>
      <c r="H48" s="9">
        <f>'Giá Máy'!O17</f>
        <v>2347866</v>
      </c>
      <c r="I48" s="9">
        <f t="shared" si="9"/>
        <v>3925211.2144128</v>
      </c>
      <c r="J48" s="9">
        <f t="shared" si="10"/>
        <v>0</v>
      </c>
      <c r="K48" s="9">
        <f t="shared" si="11"/>
        <v>0</v>
      </c>
      <c r="L48" s="600"/>
      <c r="M48" s="600"/>
      <c r="N48" s="600"/>
      <c r="O48" s="600"/>
      <c r="P48" s="600"/>
      <c r="Q48" s="600"/>
      <c r="R48" s="600"/>
      <c r="S48" s="600"/>
      <c r="T48" s="600"/>
      <c r="U48" s="600"/>
      <c r="V48" s="600"/>
      <c r="W48" s="600"/>
      <c r="X48" s="600"/>
      <c r="Y48" s="600"/>
      <c r="Z48" s="600"/>
      <c r="AA48" s="600"/>
    </row>
    <row r="49" spans="1:27" ht="15" customHeight="1" x14ac:dyDescent="0.25">
      <c r="A49" s="286">
        <v>14</v>
      </c>
      <c r="B49" s="169" t="s">
        <v>691</v>
      </c>
      <c r="C49" s="96" t="s">
        <v>55</v>
      </c>
      <c r="D49" s="169" t="s">
        <v>1272</v>
      </c>
      <c r="E49" s="459">
        <f>THM!J33</f>
        <v>1</v>
      </c>
      <c r="F49" s="9">
        <f>'Giá Máy'!G18</f>
        <v>2000000</v>
      </c>
      <c r="G49" s="9">
        <f>'Giá Máy'!H18</f>
        <v>2000000</v>
      </c>
      <c r="H49" s="9">
        <f>'Giá Máy'!O18</f>
        <v>2000000</v>
      </c>
      <c r="I49" s="9">
        <f t="shared" si="9"/>
        <v>2000000</v>
      </c>
      <c r="J49" s="9">
        <f t="shared" si="10"/>
        <v>0</v>
      </c>
      <c r="K49" s="9">
        <f t="shared" si="11"/>
        <v>0</v>
      </c>
      <c r="L49" s="600"/>
      <c r="M49" s="600"/>
      <c r="N49" s="600"/>
      <c r="O49" s="600"/>
      <c r="P49" s="600"/>
      <c r="Q49" s="600"/>
      <c r="R49" s="600"/>
      <c r="S49" s="600"/>
      <c r="T49" s="600"/>
      <c r="U49" s="600"/>
      <c r="V49" s="600"/>
      <c r="W49" s="600"/>
      <c r="X49" s="600"/>
      <c r="Y49" s="600"/>
      <c r="Z49" s="600"/>
      <c r="AA49" s="600"/>
    </row>
    <row r="50" spans="1:27" ht="15" customHeight="1" x14ac:dyDescent="0.25">
      <c r="A50" s="286">
        <v>15</v>
      </c>
      <c r="B50" s="169" t="s">
        <v>1073</v>
      </c>
      <c r="C50" s="96" t="s">
        <v>328</v>
      </c>
      <c r="D50" s="169" t="s">
        <v>1272</v>
      </c>
      <c r="E50" s="459">
        <f>THM!J35</f>
        <v>0.105</v>
      </c>
      <c r="F50" s="9">
        <f>'Giá Máy'!G19</f>
        <v>1152070</v>
      </c>
      <c r="G50" s="9">
        <f>'Giá Máy'!H19</f>
        <v>1152070</v>
      </c>
      <c r="H50" s="9">
        <f>'Giá Máy'!O19</f>
        <v>1152070</v>
      </c>
      <c r="I50" s="9">
        <f t="shared" si="9"/>
        <v>120967.34999999999</v>
      </c>
      <c r="J50" s="9">
        <f t="shared" si="10"/>
        <v>0</v>
      </c>
      <c r="K50" s="9">
        <f t="shared" si="11"/>
        <v>0</v>
      </c>
      <c r="L50" s="600"/>
      <c r="M50" s="600"/>
      <c r="N50" s="600"/>
      <c r="O50" s="600"/>
      <c r="P50" s="600"/>
      <c r="Q50" s="600"/>
      <c r="R50" s="600"/>
      <c r="S50" s="600"/>
      <c r="T50" s="600"/>
      <c r="U50" s="600"/>
      <c r="V50" s="600"/>
      <c r="W50" s="600"/>
      <c r="X50" s="600"/>
      <c r="Y50" s="600"/>
      <c r="Z50" s="600"/>
      <c r="AA50" s="600"/>
    </row>
    <row r="51" spans="1:27" ht="28.15" customHeight="1" x14ac:dyDescent="0.25">
      <c r="A51" s="286">
        <v>16</v>
      </c>
      <c r="B51" s="169" t="s">
        <v>172</v>
      </c>
      <c r="C51" s="96" t="s">
        <v>576</v>
      </c>
      <c r="D51" s="169" t="s">
        <v>1272</v>
      </c>
      <c r="E51" s="459">
        <f>THM!J37</f>
        <v>2</v>
      </c>
      <c r="F51" s="9">
        <v>3200000</v>
      </c>
      <c r="G51" s="9">
        <v>3200000</v>
      </c>
      <c r="H51" s="9">
        <v>3200000</v>
      </c>
      <c r="I51" s="9">
        <f t="shared" si="9"/>
        <v>6400000</v>
      </c>
      <c r="J51" s="9">
        <f t="shared" si="10"/>
        <v>0</v>
      </c>
      <c r="K51" s="9">
        <f t="shared" si="11"/>
        <v>0</v>
      </c>
      <c r="L51" s="600"/>
      <c r="M51" s="600"/>
      <c r="N51" s="600"/>
      <c r="O51" s="600"/>
      <c r="P51" s="600"/>
      <c r="Q51" s="600"/>
      <c r="R51" s="600"/>
      <c r="S51" s="600"/>
      <c r="T51" s="600"/>
      <c r="U51" s="600"/>
      <c r="V51" s="600"/>
      <c r="W51" s="600"/>
      <c r="X51" s="600"/>
      <c r="Y51" s="600"/>
      <c r="Z51" s="600"/>
      <c r="AA51" s="600"/>
    </row>
    <row r="52" spans="1:27" ht="15" customHeight="1" x14ac:dyDescent="0.25">
      <c r="A52" s="286">
        <v>17</v>
      </c>
      <c r="B52" s="169" t="s">
        <v>172</v>
      </c>
      <c r="C52" s="96" t="s">
        <v>711</v>
      </c>
      <c r="D52" s="169" t="s">
        <v>1272</v>
      </c>
      <c r="E52" s="459">
        <f>THM!J39</f>
        <v>1</v>
      </c>
      <c r="F52" s="9">
        <v>2000000</v>
      </c>
      <c r="G52" s="9">
        <v>2000000</v>
      </c>
      <c r="H52" s="9">
        <v>2000000</v>
      </c>
      <c r="I52" s="9">
        <f t="shared" si="9"/>
        <v>2000000</v>
      </c>
      <c r="J52" s="9">
        <f t="shared" si="10"/>
        <v>0</v>
      </c>
      <c r="K52" s="9">
        <f t="shared" si="11"/>
        <v>0</v>
      </c>
      <c r="L52" s="600"/>
      <c r="M52" s="600"/>
      <c r="N52" s="600"/>
      <c r="O52" s="600"/>
      <c r="P52" s="600"/>
      <c r="Q52" s="600"/>
      <c r="R52" s="600"/>
      <c r="S52" s="600"/>
      <c r="T52" s="600"/>
      <c r="U52" s="600"/>
      <c r="V52" s="600"/>
      <c r="W52" s="600"/>
      <c r="X52" s="600"/>
      <c r="Y52" s="600"/>
      <c r="Z52" s="600"/>
      <c r="AA52" s="600"/>
    </row>
    <row r="53" spans="1:27" ht="28.15" customHeight="1" x14ac:dyDescent="0.25">
      <c r="A53" s="286">
        <v>18</v>
      </c>
      <c r="B53" s="169" t="s">
        <v>172</v>
      </c>
      <c r="C53" s="96" t="s">
        <v>1377</v>
      </c>
      <c r="D53" s="169" t="s">
        <v>1272</v>
      </c>
      <c r="E53" s="459">
        <f>THM!J41</f>
        <v>2</v>
      </c>
      <c r="F53" s="9">
        <v>2000000</v>
      </c>
      <c r="G53" s="9">
        <v>2000000</v>
      </c>
      <c r="H53" s="9">
        <v>2000000</v>
      </c>
      <c r="I53" s="9">
        <f t="shared" si="9"/>
        <v>4000000</v>
      </c>
      <c r="J53" s="9">
        <f t="shared" si="10"/>
        <v>0</v>
      </c>
      <c r="K53" s="9">
        <f t="shared" si="11"/>
        <v>0</v>
      </c>
      <c r="L53" s="600"/>
      <c r="M53" s="600"/>
      <c r="N53" s="600"/>
      <c r="O53" s="600"/>
      <c r="P53" s="600"/>
      <c r="Q53" s="600"/>
      <c r="R53" s="600"/>
      <c r="S53" s="600"/>
      <c r="T53" s="600"/>
      <c r="U53" s="600"/>
      <c r="V53" s="600"/>
      <c r="W53" s="600"/>
      <c r="X53" s="600"/>
      <c r="Y53" s="600"/>
      <c r="Z53" s="600"/>
      <c r="AA53" s="600"/>
    </row>
    <row r="54" spans="1:27" ht="28.15" customHeight="1" x14ac:dyDescent="0.25">
      <c r="A54" s="286">
        <v>19</v>
      </c>
      <c r="B54" s="169" t="s">
        <v>505</v>
      </c>
      <c r="C54" s="96" t="s">
        <v>768</v>
      </c>
      <c r="D54" s="169" t="s">
        <v>1272</v>
      </c>
      <c r="E54" s="459">
        <v>1</v>
      </c>
      <c r="F54" s="9">
        <v>5000000</v>
      </c>
      <c r="G54" s="9">
        <v>5000000</v>
      </c>
      <c r="H54" s="9">
        <v>5000000</v>
      </c>
      <c r="I54" s="9">
        <f t="shared" si="9"/>
        <v>5000000</v>
      </c>
      <c r="J54" s="9">
        <f t="shared" si="10"/>
        <v>0</v>
      </c>
      <c r="K54" s="9">
        <f t="shared" si="11"/>
        <v>0</v>
      </c>
      <c r="L54" s="600"/>
      <c r="M54" s="600"/>
      <c r="N54" s="600"/>
      <c r="O54" s="600"/>
      <c r="P54" s="600"/>
      <c r="Q54" s="600"/>
      <c r="R54" s="600"/>
      <c r="S54" s="600"/>
      <c r="T54" s="600"/>
      <c r="U54" s="600"/>
      <c r="V54" s="600"/>
      <c r="W54" s="600"/>
      <c r="X54" s="600"/>
      <c r="Y54" s="600"/>
      <c r="Z54" s="600"/>
      <c r="AA54" s="600"/>
    </row>
    <row r="55" spans="1:27" ht="15" customHeight="1" x14ac:dyDescent="0.25">
      <c r="A55" s="286">
        <v>20</v>
      </c>
      <c r="B55" s="169" t="s">
        <v>760</v>
      </c>
      <c r="C55" s="96" t="s">
        <v>1321</v>
      </c>
      <c r="D55" s="169" t="s">
        <v>1086</v>
      </c>
      <c r="E55" s="459">
        <f>THM!J45</f>
        <v>773.18600000000004</v>
      </c>
      <c r="F55" s="9">
        <v>0</v>
      </c>
      <c r="G55" s="9">
        <v>0</v>
      </c>
      <c r="H55" s="9">
        <v>0</v>
      </c>
      <c r="I55" s="9">
        <v>623907.18766319996</v>
      </c>
      <c r="J55" s="9">
        <f t="shared" si="10"/>
        <v>0</v>
      </c>
      <c r="K55" s="9">
        <f t="shared" si="11"/>
        <v>0</v>
      </c>
      <c r="L55" s="600"/>
      <c r="M55" s="600"/>
      <c r="N55" s="600"/>
      <c r="O55" s="600"/>
      <c r="P55" s="600"/>
      <c r="Q55" s="600"/>
      <c r="R55" s="600"/>
      <c r="S55" s="600"/>
      <c r="T55" s="600"/>
      <c r="U55" s="600"/>
      <c r="V55" s="600"/>
      <c r="W55" s="600"/>
      <c r="X55" s="600"/>
      <c r="Y55" s="600"/>
      <c r="Z55" s="600"/>
      <c r="AA55" s="600"/>
    </row>
    <row r="56" spans="1:27" ht="16.149999999999999" customHeight="1" x14ac:dyDescent="0.25">
      <c r="A56" s="286"/>
      <c r="B56" s="169"/>
      <c r="C56" s="96"/>
      <c r="D56" s="169"/>
      <c r="E56" s="237"/>
      <c r="F56" s="9"/>
      <c r="G56" s="9"/>
      <c r="H56" s="9"/>
      <c r="I56" s="9"/>
      <c r="J56" s="9"/>
      <c r="K56" s="9"/>
      <c r="L56" s="600"/>
      <c r="M56" s="600"/>
      <c r="N56" s="600"/>
      <c r="O56" s="600"/>
      <c r="P56" s="600"/>
      <c r="Q56" s="600"/>
      <c r="R56" s="600"/>
      <c r="S56" s="600"/>
      <c r="T56" s="600"/>
      <c r="U56" s="600"/>
      <c r="V56" s="600"/>
      <c r="W56" s="600"/>
      <c r="X56" s="600"/>
      <c r="Y56" s="600"/>
      <c r="Z56" s="600"/>
      <c r="AA56" s="600"/>
    </row>
    <row r="57" spans="1:27" ht="14.1" customHeight="1" x14ac:dyDescent="0.25">
      <c r="A57" s="210"/>
      <c r="B57" s="663"/>
      <c r="C57" s="597"/>
      <c r="D57" s="663"/>
      <c r="E57" s="722"/>
      <c r="F57" s="348"/>
      <c r="G57" s="348"/>
      <c r="H57" s="348"/>
      <c r="I57" s="348"/>
      <c r="J57" s="348"/>
      <c r="K57" s="348"/>
      <c r="L57" s="600"/>
      <c r="M57" s="600"/>
      <c r="N57" s="600"/>
      <c r="O57" s="600"/>
      <c r="P57" s="600"/>
      <c r="Q57" s="600"/>
      <c r="R57" s="600"/>
      <c r="S57" s="600"/>
      <c r="T57" s="600"/>
      <c r="U57" s="600"/>
      <c r="V57" s="600"/>
      <c r="W57" s="600"/>
      <c r="X57" s="600"/>
      <c r="Y57" s="600"/>
      <c r="Z57" s="600"/>
      <c r="AA57" s="600"/>
    </row>
    <row r="58" spans="1:27" ht="14.1" customHeight="1" x14ac:dyDescent="0.25">
      <c r="A58" s="424"/>
      <c r="B58" s="511"/>
      <c r="C58" s="511"/>
      <c r="D58" s="511"/>
      <c r="E58" s="511"/>
      <c r="F58" s="511"/>
      <c r="G58" s="511"/>
      <c r="H58" s="511"/>
      <c r="I58" s="511"/>
      <c r="J58" s="511"/>
      <c r="K58" s="511"/>
      <c r="L58" s="600"/>
      <c r="M58" s="600"/>
      <c r="N58" s="600"/>
      <c r="O58" s="600"/>
      <c r="P58" s="600"/>
      <c r="Q58" s="600"/>
      <c r="R58" s="600"/>
      <c r="S58" s="600"/>
      <c r="T58" s="600"/>
      <c r="U58" s="600"/>
      <c r="V58" s="600"/>
      <c r="W58" s="600"/>
      <c r="X58" s="600"/>
      <c r="Y58" s="600"/>
      <c r="Z58" s="600"/>
      <c r="AA58" s="600"/>
    </row>
    <row r="59" spans="1:27" x14ac:dyDescent="0.25">
      <c r="B59" s="600"/>
      <c r="C59" s="600"/>
      <c r="D59" s="600"/>
      <c r="E59" s="600"/>
      <c r="F59" s="600"/>
      <c r="G59" s="600"/>
      <c r="H59" s="600"/>
      <c r="I59" s="600"/>
      <c r="J59" s="600"/>
      <c r="K59" s="600"/>
      <c r="L59" s="600"/>
      <c r="M59" s="600"/>
      <c r="N59" s="600"/>
      <c r="O59" s="600"/>
      <c r="P59" s="600"/>
      <c r="Q59" s="600"/>
      <c r="R59" s="600"/>
      <c r="S59" s="600"/>
      <c r="T59" s="600"/>
      <c r="U59" s="600"/>
      <c r="V59" s="600"/>
      <c r="W59" s="600"/>
      <c r="X59" s="600"/>
      <c r="Y59" s="600"/>
      <c r="Z59" s="600"/>
      <c r="AA59" s="600"/>
    </row>
    <row r="60" spans="1:27" x14ac:dyDescent="0.25">
      <c r="B60" s="600"/>
      <c r="C60" s="600"/>
      <c r="D60" s="600"/>
      <c r="E60" s="600"/>
      <c r="F60" s="600"/>
      <c r="G60" s="600"/>
      <c r="H60" s="600"/>
      <c r="I60" s="600"/>
      <c r="J60" s="600"/>
      <c r="K60" s="600"/>
      <c r="L60" s="600"/>
      <c r="M60" s="600"/>
      <c r="N60" s="600"/>
      <c r="O60" s="600"/>
      <c r="P60" s="600"/>
      <c r="Q60" s="600"/>
      <c r="R60" s="600"/>
      <c r="S60" s="600"/>
      <c r="T60" s="600"/>
      <c r="U60" s="600"/>
      <c r="V60" s="600"/>
      <c r="W60" s="600"/>
      <c r="X60" s="600"/>
      <c r="Y60" s="600"/>
      <c r="Z60" s="600"/>
      <c r="AA60" s="600"/>
    </row>
  </sheetData>
  <mergeCells count="13">
    <mergeCell ref="A1:K1"/>
    <mergeCell ref="A2:K2"/>
    <mergeCell ref="A3:K3"/>
    <mergeCell ref="J4:K4"/>
    <mergeCell ref="A4:A5"/>
    <mergeCell ref="I4:I5"/>
    <mergeCell ref="G4:G5"/>
    <mergeCell ref="B4:B5"/>
    <mergeCell ref="C4:C5"/>
    <mergeCell ref="D4:D5"/>
    <mergeCell ref="E4:E5"/>
    <mergeCell ref="F4:F5"/>
    <mergeCell ref="H4:H5"/>
  </mergeCells>
  <pageMargins left="0.7" right="0.7" top="0.75" bottom="0.75" header="0.3" footer="0.3"/>
  <pageSetup paperSize="9"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J20"/>
  <sheetViews>
    <sheetView showGridLines="0" topLeftCell="B1" workbookViewId="0">
      <selection activeCell="B13" sqref="B13:H13"/>
    </sheetView>
  </sheetViews>
  <sheetFormatPr defaultRowHeight="15" x14ac:dyDescent="0.25"/>
  <cols>
    <col min="1" max="1" width="8.85546875" hidden="1" customWidth="1"/>
    <col min="2" max="2" width="5" customWidth="1"/>
    <col min="3" max="3" width="52.7109375" customWidth="1"/>
    <col min="4" max="4" width="24.7109375" customWidth="1"/>
    <col min="5" max="5" width="14" customWidth="1"/>
    <col min="6" max="6" width="21.140625" customWidth="1"/>
    <col min="7" max="7" width="9.42578125" customWidth="1"/>
    <col min="8" max="8" width="17" customWidth="1"/>
    <col min="9" max="10" width="9.42578125" customWidth="1"/>
  </cols>
  <sheetData>
    <row r="1" spans="1:10" ht="18.75" x14ac:dyDescent="0.25">
      <c r="A1" s="274"/>
      <c r="B1" s="1193" t="s">
        <v>1126</v>
      </c>
      <c r="C1" s="1193"/>
      <c r="D1" s="1193"/>
      <c r="E1" s="1193"/>
      <c r="F1" s="1193"/>
      <c r="G1" s="1193"/>
      <c r="H1" s="1193"/>
      <c r="I1" s="274"/>
      <c r="J1" s="27"/>
    </row>
    <row r="2" spans="1:10" ht="15.75" x14ac:dyDescent="0.25">
      <c r="A2" s="839"/>
      <c r="B2" s="1194" t="s">
        <v>449</v>
      </c>
      <c r="C2" s="1194"/>
      <c r="D2" s="1194"/>
      <c r="E2" s="1194"/>
      <c r="F2" s="1194"/>
      <c r="G2" s="1194"/>
      <c r="H2" s="1194"/>
      <c r="I2" s="839"/>
      <c r="J2" s="27"/>
    </row>
    <row r="3" spans="1:10" ht="15.75" x14ac:dyDescent="0.25">
      <c r="A3" s="839"/>
      <c r="B3" s="1194" t="s">
        <v>61</v>
      </c>
      <c r="C3" s="1194"/>
      <c r="D3" s="1194"/>
      <c r="E3" s="1194"/>
      <c r="F3" s="1194"/>
      <c r="G3" s="1194"/>
      <c r="H3" s="1194"/>
      <c r="I3" s="839"/>
      <c r="J3" s="27"/>
    </row>
    <row r="4" spans="1:10" x14ac:dyDescent="0.25">
      <c r="A4" s="276"/>
      <c r="B4" s="276"/>
      <c r="C4" s="276"/>
      <c r="D4" s="276"/>
      <c r="E4" s="276"/>
      <c r="F4" s="276"/>
      <c r="G4" s="276"/>
      <c r="H4" s="276"/>
      <c r="I4" s="276"/>
      <c r="J4" s="27"/>
    </row>
    <row r="5" spans="1:10" ht="28.5" x14ac:dyDescent="0.25">
      <c r="A5" s="253" t="s">
        <v>1220</v>
      </c>
      <c r="B5" s="253" t="s">
        <v>1323</v>
      </c>
      <c r="C5" s="253" t="s">
        <v>842</v>
      </c>
      <c r="D5" s="253" t="s">
        <v>897</v>
      </c>
      <c r="E5" s="253" t="s">
        <v>1354</v>
      </c>
      <c r="F5" s="253" t="s">
        <v>1305</v>
      </c>
      <c r="G5" s="253" t="s">
        <v>1257</v>
      </c>
      <c r="H5" s="253" t="s">
        <v>426</v>
      </c>
      <c r="I5" s="253" t="s">
        <v>1278</v>
      </c>
      <c r="J5" s="27"/>
    </row>
    <row r="6" spans="1:10" x14ac:dyDescent="0.25">
      <c r="A6" s="239"/>
      <c r="B6" s="239" t="s">
        <v>677</v>
      </c>
      <c r="C6" s="239" t="s">
        <v>291</v>
      </c>
      <c r="D6" s="239" t="s">
        <v>1391</v>
      </c>
      <c r="E6" s="239" t="s">
        <v>1413</v>
      </c>
      <c r="F6" s="239" t="s">
        <v>1045</v>
      </c>
      <c r="G6" s="239" t="s">
        <v>605</v>
      </c>
      <c r="H6" s="253"/>
      <c r="I6" s="253"/>
      <c r="J6" s="27"/>
    </row>
    <row r="7" spans="1:10" x14ac:dyDescent="0.25">
      <c r="A7" s="105"/>
      <c r="B7" s="133">
        <v>1</v>
      </c>
      <c r="C7" s="729" t="s">
        <v>420</v>
      </c>
      <c r="D7" s="664">
        <f t="shared" ref="D7:F7" si="0">SUM(D8:D8)</f>
        <v>1143527183.5140195</v>
      </c>
      <c r="E7" s="664">
        <f t="shared" si="0"/>
        <v>91482174.681121558</v>
      </c>
      <c r="F7" s="664">
        <f t="shared" si="0"/>
        <v>1235009358.1951411</v>
      </c>
      <c r="G7" s="133" t="s">
        <v>1398</v>
      </c>
      <c r="H7" s="834"/>
      <c r="I7" s="815"/>
      <c r="J7" s="27"/>
    </row>
    <row r="8" spans="1:10" x14ac:dyDescent="0.25">
      <c r="A8" s="153"/>
      <c r="B8" s="179"/>
      <c r="C8" s="101" t="s">
        <v>758</v>
      </c>
      <c r="D8" s="696">
        <f>THKPHM!F21</f>
        <v>1143527183.5140195</v>
      </c>
      <c r="E8" s="696">
        <f>D8*'Thông tin'!E61</f>
        <v>91482174.681121558</v>
      </c>
      <c r="F8" s="696">
        <f>D8+E8</f>
        <v>1235009358.1951411</v>
      </c>
      <c r="G8" s="179"/>
      <c r="H8" s="179"/>
      <c r="I8" s="825">
        <v>0</v>
      </c>
      <c r="J8" s="355"/>
    </row>
    <row r="9" spans="1:10" x14ac:dyDescent="0.25">
      <c r="A9" s="403"/>
      <c r="B9" s="428">
        <v>2</v>
      </c>
      <c r="C9" s="658" t="s">
        <v>119</v>
      </c>
      <c r="D9" s="31">
        <f t="shared" ref="D9:F9" si="1">ROUND(SUM(D10:D12),0)</f>
        <v>40023451</v>
      </c>
      <c r="E9" s="31">
        <f t="shared" si="1"/>
        <v>4002345</v>
      </c>
      <c r="F9" s="31">
        <f t="shared" si="1"/>
        <v>44025797</v>
      </c>
      <c r="G9" s="428" t="s">
        <v>156</v>
      </c>
      <c r="H9" s="766"/>
      <c r="I9" s="743"/>
      <c r="J9" s="27"/>
    </row>
    <row r="10" spans="1:10" ht="30" x14ac:dyDescent="0.25">
      <c r="A10" s="743"/>
      <c r="B10" s="766"/>
      <c r="C10" s="449" t="s">
        <v>1141</v>
      </c>
      <c r="D10" s="381">
        <f t="shared" ref="D10:D11" si="2">$D$7*I10</f>
        <v>11435271.835140195</v>
      </c>
      <c r="E10" s="381">
        <f t="shared" ref="E10:E11" si="3">D10*10%</f>
        <v>1143527.1835140195</v>
      </c>
      <c r="F10" s="696">
        <f t="shared" ref="F10:F11" si="4">D10+E10</f>
        <v>12578799.018654214</v>
      </c>
      <c r="G10" s="766"/>
      <c r="H10" s="766" t="s">
        <v>225</v>
      </c>
      <c r="I10" s="578">
        <v>0.01</v>
      </c>
      <c r="J10" s="27"/>
    </row>
    <row r="11" spans="1:10" ht="30" x14ac:dyDescent="0.25">
      <c r="A11" s="743"/>
      <c r="B11" s="766"/>
      <c r="C11" s="449" t="s">
        <v>509</v>
      </c>
      <c r="D11" s="381">
        <f t="shared" si="2"/>
        <v>28588179.587850489</v>
      </c>
      <c r="E11" s="381">
        <f t="shared" si="3"/>
        <v>2858817.9587850492</v>
      </c>
      <c r="F11" s="696">
        <f t="shared" si="4"/>
        <v>31446997.546635538</v>
      </c>
      <c r="G11" s="766"/>
      <c r="H11" s="766" t="s">
        <v>407</v>
      </c>
      <c r="I11" s="578">
        <v>2.5000000000000001E-2</v>
      </c>
      <c r="J11" s="27"/>
    </row>
    <row r="12" spans="1:10" x14ac:dyDescent="0.25">
      <c r="A12" s="743"/>
      <c r="B12" s="766"/>
      <c r="C12" s="449" t="s">
        <v>1366</v>
      </c>
      <c r="D12" s="381"/>
      <c r="E12" s="381"/>
      <c r="F12" s="381"/>
      <c r="G12" s="766"/>
      <c r="H12" s="766"/>
      <c r="I12" s="743"/>
      <c r="J12" s="27"/>
    </row>
    <row r="13" spans="1:10" x14ac:dyDescent="0.25">
      <c r="A13" s="403"/>
      <c r="B13" s="428">
        <v>3</v>
      </c>
      <c r="C13" s="658" t="s">
        <v>1111</v>
      </c>
      <c r="D13" s="31">
        <f t="shared" ref="D13:F13" si="5">ROUND(SUM(D14:D15),0)</f>
        <v>59177532</v>
      </c>
      <c r="E13" s="31">
        <f t="shared" si="5"/>
        <v>5917753</v>
      </c>
      <c r="F13" s="31">
        <f t="shared" si="5"/>
        <v>65095285</v>
      </c>
      <c r="G13" s="428" t="s">
        <v>620</v>
      </c>
      <c r="H13" s="766" t="s">
        <v>440</v>
      </c>
      <c r="I13" s="743"/>
      <c r="J13" s="27"/>
    </row>
    <row r="14" spans="1:10" x14ac:dyDescent="0.25">
      <c r="A14" s="743"/>
      <c r="B14" s="766"/>
      <c r="C14" s="449" t="s">
        <v>283</v>
      </c>
      <c r="D14" s="381">
        <f t="shared" ref="D14:D15" si="6">(D$7+$D$9)*I14</f>
        <v>59177531.725700974</v>
      </c>
      <c r="E14" s="381">
        <f t="shared" ref="E14:E15" si="7">D14*10%</f>
        <v>5917753.1725700982</v>
      </c>
      <c r="F14" s="696">
        <f t="shared" ref="F14:F15" si="8">D14+E14</f>
        <v>65095284.898271069</v>
      </c>
      <c r="G14" s="179" t="s">
        <v>1349</v>
      </c>
      <c r="H14" s="766" t="s">
        <v>1458</v>
      </c>
      <c r="I14" s="578">
        <v>0.05</v>
      </c>
      <c r="J14" s="27"/>
    </row>
    <row r="15" spans="1:10" x14ac:dyDescent="0.25">
      <c r="A15" s="390"/>
      <c r="B15" s="410"/>
      <c r="C15" s="86" t="s">
        <v>292</v>
      </c>
      <c r="D15" s="381">
        <f t="shared" si="6"/>
        <v>0</v>
      </c>
      <c r="E15" s="381">
        <f t="shared" si="7"/>
        <v>0</v>
      </c>
      <c r="F15" s="696">
        <f t="shared" si="8"/>
        <v>0</v>
      </c>
      <c r="G15" s="733" t="s">
        <v>248</v>
      </c>
      <c r="H15" s="410"/>
      <c r="I15" s="390"/>
      <c r="J15" s="27"/>
    </row>
    <row r="16" spans="1:10" x14ac:dyDescent="0.25">
      <c r="A16" s="668"/>
      <c r="B16" s="683"/>
      <c r="C16" s="878" t="s">
        <v>705</v>
      </c>
      <c r="D16" s="285">
        <f t="shared" ref="D16:F16" si="9">D7+D9+D13</f>
        <v>1242728166.5140195</v>
      </c>
      <c r="E16" s="285">
        <f t="shared" si="9"/>
        <v>101402272.68112156</v>
      </c>
      <c r="F16" s="285">
        <f t="shared" si="9"/>
        <v>1344130440.1951411</v>
      </c>
      <c r="G16" s="683" t="s">
        <v>1463</v>
      </c>
      <c r="H16" s="683"/>
      <c r="I16" s="668"/>
      <c r="J16" s="27"/>
    </row>
    <row r="17" spans="1:10" x14ac:dyDescent="0.25">
      <c r="A17" s="276"/>
      <c r="B17" s="276"/>
      <c r="C17" s="276"/>
      <c r="D17" s="276"/>
      <c r="E17" s="276"/>
      <c r="F17" s="276"/>
      <c r="G17" s="276"/>
      <c r="H17" s="276"/>
      <c r="I17" s="276"/>
      <c r="J17" s="27"/>
    </row>
    <row r="18" spans="1:10" x14ac:dyDescent="0.25">
      <c r="A18" s="276"/>
      <c r="B18" s="276"/>
      <c r="C18" s="276"/>
      <c r="D18" s="276"/>
      <c r="E18" s="276"/>
      <c r="F18" s="276"/>
      <c r="G18" s="276"/>
      <c r="H18" s="276"/>
      <c r="I18" s="276"/>
      <c r="J18" s="27"/>
    </row>
    <row r="19" spans="1:10" x14ac:dyDescent="0.25">
      <c r="A19" s="276"/>
      <c r="B19" s="276"/>
      <c r="C19" s="276"/>
      <c r="D19" s="276"/>
      <c r="E19" s="276"/>
      <c r="F19" s="276"/>
      <c r="G19" s="276"/>
      <c r="H19" s="276"/>
      <c r="I19" s="276"/>
      <c r="J19" s="27"/>
    </row>
    <row r="20" spans="1:10" x14ac:dyDescent="0.25">
      <c r="A20" s="276"/>
      <c r="B20" s="276"/>
      <c r="C20" s="276"/>
      <c r="D20" s="276"/>
      <c r="E20" s="276"/>
      <c r="F20" s="276"/>
      <c r="G20" s="276"/>
      <c r="H20" s="276"/>
      <c r="I20" s="276"/>
      <c r="J20" s="27"/>
    </row>
  </sheetData>
  <mergeCells count="3">
    <mergeCell ref="B1:H1"/>
    <mergeCell ref="B2:H2"/>
    <mergeCell ref="B3:H3"/>
  </mergeCells>
  <pageMargins left="0.7" right="0.7" top="0.75" bottom="0.75" header="0.3" footer="0.3"/>
  <pageSetup orientation="landscape"/>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indexed="42"/>
  </sheetPr>
  <dimension ref="A1:AA157"/>
  <sheetViews>
    <sheetView showZeros="0" topLeftCell="B1" workbookViewId="0">
      <selection activeCell="B13" sqref="B13:H13"/>
    </sheetView>
  </sheetViews>
  <sheetFormatPr defaultColWidth="9.140625" defaultRowHeight="15" x14ac:dyDescent="0.25"/>
  <cols>
    <col min="1" max="1" width="9.140625" style="794" hidden="1" customWidth="1"/>
    <col min="2" max="2" width="4.7109375" style="794" bestFit="1" customWidth="1"/>
    <col min="3" max="3" width="12.85546875" style="784" bestFit="1" customWidth="1"/>
    <col min="4" max="4" width="44.140625" style="794" customWidth="1"/>
    <col min="5" max="5" width="7.5703125" style="794" customWidth="1"/>
    <col min="6" max="6" width="10.42578125" style="794" customWidth="1"/>
    <col min="7" max="7" width="12.140625" style="794" customWidth="1"/>
    <col min="8" max="8" width="9.5703125" style="794" customWidth="1"/>
    <col min="9" max="9" width="13.7109375" style="794" customWidth="1"/>
    <col min="10" max="10" width="9.140625" style="794" hidden="1" customWidth="1"/>
    <col min="11" max="11" width="11" style="794" hidden="1" customWidth="1"/>
    <col min="12" max="12" width="8.85546875" style="794" hidden="1" customWidth="1"/>
    <col min="13" max="13" width="10.7109375" style="794" hidden="1" bestFit="1" customWidth="1"/>
    <col min="14" max="15" width="10.7109375" style="794" hidden="1" customWidth="1"/>
    <col min="16" max="16" width="9.140625" style="794" hidden="1" customWidth="1"/>
    <col min="17" max="17" width="12" style="794" hidden="1" customWidth="1"/>
    <col min="18" max="18" width="9.85546875" style="794" customWidth="1"/>
    <col min="19" max="16384" width="9.140625" style="794"/>
  </cols>
  <sheetData>
    <row r="1" spans="1:27" ht="18.75" x14ac:dyDescent="0.25">
      <c r="A1" s="1198" t="s">
        <v>1424</v>
      </c>
      <c r="B1" s="1198" t="s">
        <v>1424</v>
      </c>
      <c r="C1" s="1198" t="s">
        <v>1424</v>
      </c>
      <c r="D1" s="1198" t="s">
        <v>1424</v>
      </c>
      <c r="E1" s="1198" t="s">
        <v>1424</v>
      </c>
      <c r="F1" s="1198" t="s">
        <v>1424</v>
      </c>
      <c r="G1" s="1198" t="s">
        <v>1424</v>
      </c>
      <c r="H1" s="1198" t="s">
        <v>1424</v>
      </c>
      <c r="I1" s="1198" t="s">
        <v>1424</v>
      </c>
      <c r="J1" s="1198" t="s">
        <v>1424</v>
      </c>
      <c r="K1" s="1198" t="s">
        <v>1424</v>
      </c>
      <c r="L1" s="1198" t="s">
        <v>1424</v>
      </c>
      <c r="M1" s="1198" t="s">
        <v>1424</v>
      </c>
      <c r="N1" s="1198" t="s">
        <v>1424</v>
      </c>
      <c r="O1" s="1198" t="s">
        <v>1424</v>
      </c>
      <c r="P1" s="1198" t="s">
        <v>1424</v>
      </c>
      <c r="Q1" s="1198" t="s">
        <v>1424</v>
      </c>
    </row>
    <row r="2" spans="1:27" x14ac:dyDescent="0.25">
      <c r="A2" s="1199" t="s">
        <v>194</v>
      </c>
      <c r="B2" s="1199" t="s">
        <v>194</v>
      </c>
      <c r="C2" s="1199" t="s">
        <v>194</v>
      </c>
      <c r="D2" s="1199" t="s">
        <v>194</v>
      </c>
      <c r="E2" s="1199" t="s">
        <v>194</v>
      </c>
      <c r="F2" s="1199" t="s">
        <v>194</v>
      </c>
      <c r="G2" s="1199" t="s">
        <v>194</v>
      </c>
      <c r="H2" s="1199" t="s">
        <v>194</v>
      </c>
      <c r="I2" s="1199" t="s">
        <v>194</v>
      </c>
      <c r="J2" s="1199" t="s">
        <v>194</v>
      </c>
      <c r="K2" s="1199" t="s">
        <v>194</v>
      </c>
      <c r="L2" s="1199" t="s">
        <v>194</v>
      </c>
      <c r="M2" s="1199" t="s">
        <v>194</v>
      </c>
      <c r="N2" s="1199" t="s">
        <v>194</v>
      </c>
      <c r="O2" s="1199" t="s">
        <v>194</v>
      </c>
      <c r="P2" s="1199" t="s">
        <v>194</v>
      </c>
      <c r="Q2" s="1199" t="s">
        <v>194</v>
      </c>
    </row>
    <row r="3" spans="1:27" ht="17.25" customHeight="1" x14ac:dyDescent="0.25">
      <c r="A3" s="1200" t="s">
        <v>914</v>
      </c>
      <c r="B3" s="1200" t="s">
        <v>914</v>
      </c>
      <c r="C3" s="1200" t="s">
        <v>914</v>
      </c>
      <c r="D3" s="1200" t="s">
        <v>914</v>
      </c>
      <c r="E3" s="1200" t="s">
        <v>914</v>
      </c>
      <c r="F3" s="1200" t="s">
        <v>914</v>
      </c>
      <c r="G3" s="1200" t="s">
        <v>914</v>
      </c>
      <c r="H3" s="1200" t="s">
        <v>914</v>
      </c>
      <c r="I3" s="1200" t="s">
        <v>914</v>
      </c>
      <c r="J3" s="1200" t="s">
        <v>914</v>
      </c>
      <c r="K3" s="1200" t="s">
        <v>914</v>
      </c>
      <c r="L3" s="1200" t="s">
        <v>914</v>
      </c>
      <c r="M3" s="1200" t="s">
        <v>914</v>
      </c>
      <c r="N3" s="1200" t="s">
        <v>914</v>
      </c>
      <c r="O3" s="1200" t="s">
        <v>914</v>
      </c>
      <c r="P3" s="1200" t="s">
        <v>914</v>
      </c>
      <c r="Q3" s="1200" t="s">
        <v>914</v>
      </c>
    </row>
    <row r="4" spans="1:27" x14ac:dyDescent="0.25">
      <c r="B4" s="1085" t="s">
        <v>1323</v>
      </c>
      <c r="C4" s="1201" t="s">
        <v>876</v>
      </c>
      <c r="D4" s="1085" t="s">
        <v>364</v>
      </c>
      <c r="E4" s="1085" t="s">
        <v>1448</v>
      </c>
      <c r="F4" s="1196" t="s">
        <v>207</v>
      </c>
      <c r="G4" s="1203"/>
      <c r="H4" s="1203"/>
      <c r="I4" s="1197"/>
      <c r="J4" s="1196" t="s">
        <v>1004</v>
      </c>
      <c r="K4" s="1197"/>
      <c r="L4" s="1196" t="s">
        <v>320</v>
      </c>
      <c r="M4" s="1197"/>
      <c r="N4" s="747"/>
      <c r="O4" s="747"/>
      <c r="P4" s="1196" t="s">
        <v>174</v>
      </c>
      <c r="Q4" s="1197"/>
      <c r="R4" s="1195" t="s">
        <v>820</v>
      </c>
      <c r="S4" s="874"/>
      <c r="T4" s="874"/>
      <c r="U4" s="874"/>
      <c r="V4" s="874"/>
      <c r="W4" s="874"/>
      <c r="X4" s="874"/>
      <c r="Y4" s="874"/>
      <c r="Z4" s="874"/>
      <c r="AA4" s="874"/>
    </row>
    <row r="5" spans="1:27" x14ac:dyDescent="0.25">
      <c r="B5" s="1086"/>
      <c r="C5" s="1202"/>
      <c r="D5" s="1086"/>
      <c r="E5" s="1086"/>
      <c r="F5" s="288" t="s">
        <v>317</v>
      </c>
      <c r="G5" s="288" t="s">
        <v>1079</v>
      </c>
      <c r="H5" s="288" t="s">
        <v>860</v>
      </c>
      <c r="I5" s="288" t="s">
        <v>131</v>
      </c>
      <c r="J5" s="288" t="s">
        <v>1446</v>
      </c>
      <c r="K5" s="288" t="s">
        <v>898</v>
      </c>
      <c r="L5" s="288" t="s">
        <v>1313</v>
      </c>
      <c r="M5" s="288" t="s">
        <v>898</v>
      </c>
      <c r="N5" s="288"/>
      <c r="O5" s="288"/>
      <c r="P5" s="288" t="s">
        <v>1192</v>
      </c>
      <c r="Q5" s="288" t="s">
        <v>898</v>
      </c>
      <c r="R5" s="1195"/>
      <c r="S5" s="874"/>
      <c r="T5" s="874"/>
      <c r="U5" s="874"/>
      <c r="V5" s="874"/>
      <c r="W5" s="874"/>
      <c r="X5" s="874"/>
      <c r="Y5" s="874"/>
      <c r="Z5" s="874"/>
      <c r="AA5" s="874"/>
    </row>
    <row r="6" spans="1:27" ht="30" x14ac:dyDescent="0.25">
      <c r="A6" s="851"/>
      <c r="B6" s="804">
        <v>1</v>
      </c>
      <c r="C6" s="575" t="s">
        <v>1388</v>
      </c>
      <c r="D6" s="342" t="str">
        <f>'Tiên lượng'!D8</f>
        <v>Phá dỡ kết cấu bê tông không cốt thép bằng búa căn. (Bê tông mặt đường cũ)</v>
      </c>
      <c r="E6" s="804" t="str">
        <f>'Tiên lượng'!E8</f>
        <v>m3</v>
      </c>
      <c r="F6" s="785">
        <f>'Tiên lượng'!M8</f>
        <v>40.799999999999997</v>
      </c>
      <c r="G6" s="734">
        <v>0</v>
      </c>
      <c r="H6" s="734">
        <v>0</v>
      </c>
      <c r="I6" s="734">
        <v>0</v>
      </c>
      <c r="J6" s="516">
        <v>0</v>
      </c>
      <c r="K6" s="516">
        <v>0</v>
      </c>
      <c r="L6" s="516">
        <v>0</v>
      </c>
      <c r="M6" s="516">
        <v>0</v>
      </c>
      <c r="N6" s="516">
        <v>0</v>
      </c>
      <c r="O6" s="516">
        <v>0</v>
      </c>
      <c r="P6" s="516">
        <v>0</v>
      </c>
      <c r="Q6" s="516">
        <v>0</v>
      </c>
      <c r="R6" s="155">
        <v>0</v>
      </c>
      <c r="S6" s="874"/>
      <c r="T6" s="874"/>
      <c r="U6" s="874"/>
      <c r="V6" s="874"/>
      <c r="W6" s="874"/>
      <c r="X6" s="874"/>
      <c r="Y6" s="874"/>
      <c r="Z6" s="874"/>
      <c r="AA6" s="874"/>
    </row>
    <row r="7" spans="1:27" x14ac:dyDescent="0.25">
      <c r="A7" s="849"/>
      <c r="B7" s="875">
        <v>0</v>
      </c>
      <c r="C7" s="810" t="s">
        <v>125</v>
      </c>
      <c r="D7" s="416" t="s">
        <v>890</v>
      </c>
      <c r="E7" s="875"/>
      <c r="F7" s="856">
        <v>0</v>
      </c>
      <c r="G7" s="806">
        <v>0</v>
      </c>
      <c r="H7" s="806"/>
      <c r="I7" s="806">
        <v>0</v>
      </c>
      <c r="J7" s="219">
        <v>0</v>
      </c>
      <c r="K7" s="219">
        <f>SUM(K8:K8)</f>
        <v>132598.44</v>
      </c>
      <c r="L7" s="219">
        <v>0</v>
      </c>
      <c r="M7" s="219">
        <f>SUM(M8:M8)</f>
        <v>132598.44</v>
      </c>
      <c r="N7" s="219">
        <v>0</v>
      </c>
      <c r="O7" s="219">
        <v>0</v>
      </c>
      <c r="P7" s="219">
        <v>0</v>
      </c>
      <c r="Q7" s="219">
        <f>SUM(Q8:Q8)</f>
        <v>132598.44</v>
      </c>
      <c r="R7" s="448">
        <v>0</v>
      </c>
      <c r="S7" s="874"/>
      <c r="T7" s="874"/>
      <c r="U7" s="874"/>
      <c r="V7" s="874"/>
      <c r="W7" s="874"/>
      <c r="X7" s="874"/>
      <c r="Y7" s="874"/>
      <c r="Z7" s="874"/>
      <c r="AA7" s="874"/>
    </row>
    <row r="8" spans="1:27" x14ac:dyDescent="0.25">
      <c r="A8" s="259"/>
      <c r="B8" s="199">
        <v>0</v>
      </c>
      <c r="C8" s="122" t="s">
        <v>591</v>
      </c>
      <c r="D8" s="646" t="str">
        <f>" - " &amp; 'Giá NC'!E5</f>
        <v xml:space="preserve"> - Nhân công bậc 3,0/7 - Nhóm 1</v>
      </c>
      <c r="E8" s="199" t="str">
        <f>'Giá NC'!F5</f>
        <v>công</v>
      </c>
      <c r="F8" s="186">
        <v>0</v>
      </c>
      <c r="G8" s="115">
        <v>0.57999999999999996</v>
      </c>
      <c r="H8" s="115">
        <f>'Tiên lượng'!W8</f>
        <v>1</v>
      </c>
      <c r="I8" s="115">
        <f>PRODUCT(F6, G8, H8)</f>
        <v>23.663999999999998</v>
      </c>
      <c r="J8" s="431">
        <f>'Giá NC'!G5</f>
        <v>228618</v>
      </c>
      <c r="K8" s="431">
        <f>PRODUCT(G8, H8, J8)</f>
        <v>132598.44</v>
      </c>
      <c r="L8" s="431">
        <f>'Giá NC'!H5</f>
        <v>228618</v>
      </c>
      <c r="M8" s="431">
        <f>PRODUCT(G8, H8, L8)</f>
        <v>132598.44</v>
      </c>
      <c r="N8" s="431">
        <v>0</v>
      </c>
      <c r="O8" s="431">
        <v>0</v>
      </c>
      <c r="P8" s="431">
        <f>'Giá NC'!K5</f>
        <v>228618</v>
      </c>
      <c r="Q8" s="431">
        <f>PRODUCT(G8, H8, P8)</f>
        <v>132598.44</v>
      </c>
      <c r="R8" s="448">
        <v>0</v>
      </c>
      <c r="S8" s="874"/>
      <c r="T8" s="874"/>
      <c r="U8" s="874"/>
      <c r="V8" s="874"/>
      <c r="W8" s="874"/>
      <c r="X8" s="874"/>
      <c r="Y8" s="874"/>
      <c r="Z8" s="874"/>
      <c r="AA8" s="874"/>
    </row>
    <row r="9" spans="1:27" x14ac:dyDescent="0.25">
      <c r="A9" s="849"/>
      <c r="B9" s="875">
        <v>0</v>
      </c>
      <c r="C9" s="810" t="s">
        <v>539</v>
      </c>
      <c r="D9" s="416" t="s">
        <v>556</v>
      </c>
      <c r="E9" s="875"/>
      <c r="F9" s="856">
        <v>0</v>
      </c>
      <c r="G9" s="806">
        <v>0</v>
      </c>
      <c r="H9" s="806"/>
      <c r="I9" s="806">
        <v>0</v>
      </c>
      <c r="J9" s="219">
        <v>0</v>
      </c>
      <c r="K9" s="219">
        <f>SUM(K10:K11)</f>
        <v>171274.46000000002</v>
      </c>
      <c r="L9" s="219">
        <v>0</v>
      </c>
      <c r="M9" s="219">
        <f>SUM(M10:M11)</f>
        <v>171274.46000000002</v>
      </c>
      <c r="N9" s="219">
        <v>0</v>
      </c>
      <c r="O9" s="219">
        <v>0</v>
      </c>
      <c r="P9" s="219">
        <v>0</v>
      </c>
      <c r="Q9" s="219">
        <f>SUM(Q10:Q11)</f>
        <v>171274.46000000002</v>
      </c>
      <c r="R9" s="448">
        <v>0</v>
      </c>
      <c r="S9" s="874"/>
      <c r="T9" s="874"/>
      <c r="U9" s="874"/>
      <c r="V9" s="874"/>
      <c r="W9" s="874"/>
      <c r="X9" s="874"/>
      <c r="Y9" s="874"/>
      <c r="Z9" s="874"/>
      <c r="AA9" s="874"/>
    </row>
    <row r="10" spans="1:27" x14ac:dyDescent="0.25">
      <c r="A10" s="259"/>
      <c r="B10" s="199">
        <v>0</v>
      </c>
      <c r="C10" s="122" t="s">
        <v>445</v>
      </c>
      <c r="D10" s="646" t="str">
        <f>" - " &amp; 'Giá Máy'!E5</f>
        <v xml:space="preserve"> - Búa căn khí nén 3m3/ph</v>
      </c>
      <c r="E10" s="199" t="str">
        <f>'Giá Máy'!F5</f>
        <v>ca</v>
      </c>
      <c r="F10" s="186">
        <v>0</v>
      </c>
      <c r="G10" s="115">
        <v>0.26</v>
      </c>
      <c r="H10" s="115">
        <f>'Tiên lượng'!X8</f>
        <v>1</v>
      </c>
      <c r="I10" s="115">
        <f>PRODUCT(F6, G10, H10)</f>
        <v>10.607999999999999</v>
      </c>
      <c r="J10" s="431">
        <f>'Giá Máy'!G5</f>
        <v>21147</v>
      </c>
      <c r="K10" s="431">
        <f t="shared" ref="K10:K11" si="0">PRODUCT(G10, H10, J10)</f>
        <v>5498.22</v>
      </c>
      <c r="L10" s="431">
        <f>'Giá Máy'!H5</f>
        <v>21147</v>
      </c>
      <c r="M10" s="431">
        <f t="shared" ref="M10:M11" si="1">PRODUCT(G10, H10, L10)</f>
        <v>5498.22</v>
      </c>
      <c r="N10" s="431">
        <v>0</v>
      </c>
      <c r="O10" s="431">
        <v>0</v>
      </c>
      <c r="P10" s="431">
        <f>'Giá Máy'!O5</f>
        <v>21147</v>
      </c>
      <c r="Q10" s="431">
        <f t="shared" ref="Q10:Q11" si="2">PRODUCT(G10, H10, P10)</f>
        <v>5498.22</v>
      </c>
      <c r="R10" s="448">
        <v>0</v>
      </c>
      <c r="S10" s="874"/>
      <c r="T10" s="874"/>
      <c r="U10" s="874"/>
      <c r="V10" s="874"/>
      <c r="W10" s="874"/>
      <c r="X10" s="874"/>
      <c r="Y10" s="874"/>
      <c r="Z10" s="874"/>
      <c r="AA10" s="874"/>
    </row>
    <row r="11" spans="1:27" x14ac:dyDescent="0.25">
      <c r="A11" s="801"/>
      <c r="B11" s="748">
        <v>0</v>
      </c>
      <c r="C11" s="145" t="s">
        <v>647</v>
      </c>
      <c r="D11" s="272" t="str">
        <f>" - " &amp; 'Giá Máy'!E15</f>
        <v xml:space="preserve"> - Máy nén khí diezel 360m3/h</v>
      </c>
      <c r="E11" s="748" t="str">
        <f>'Giá Máy'!F15</f>
        <v>ca</v>
      </c>
      <c r="F11" s="736">
        <v>0</v>
      </c>
      <c r="G11" s="678">
        <v>0.14000000000000001</v>
      </c>
      <c r="H11" s="678">
        <f>'Tiên lượng'!X8</f>
        <v>1</v>
      </c>
      <c r="I11" s="678">
        <f>PRODUCT(F6, G11, H11)</f>
        <v>5.7119999999999997</v>
      </c>
      <c r="J11" s="450">
        <f>'Giá Máy'!G15</f>
        <v>1184116</v>
      </c>
      <c r="K11" s="450">
        <f t="shared" si="0"/>
        <v>165776.24000000002</v>
      </c>
      <c r="L11" s="450">
        <f>'Giá Máy'!H15</f>
        <v>1184116</v>
      </c>
      <c r="M11" s="450">
        <f t="shared" si="1"/>
        <v>165776.24000000002</v>
      </c>
      <c r="N11" s="450">
        <v>0</v>
      </c>
      <c r="O11" s="450">
        <v>0</v>
      </c>
      <c r="P11" s="450">
        <f>'Giá Máy'!O15</f>
        <v>1184116</v>
      </c>
      <c r="Q11" s="450">
        <f t="shared" si="2"/>
        <v>165776.24000000002</v>
      </c>
      <c r="R11" s="82">
        <v>0</v>
      </c>
      <c r="S11" s="874"/>
      <c r="T11" s="874"/>
      <c r="U11" s="874"/>
      <c r="V11" s="874"/>
      <c r="W11" s="874"/>
      <c r="X11" s="874"/>
      <c r="Y11" s="874"/>
      <c r="Z11" s="874"/>
      <c r="AA11" s="874"/>
    </row>
    <row r="12" spans="1:27" ht="30" x14ac:dyDescent="0.25">
      <c r="A12" s="851"/>
      <c r="B12" s="804">
        <v>2</v>
      </c>
      <c r="C12" s="575" t="s">
        <v>101</v>
      </c>
      <c r="D12" s="342" t="str">
        <f>'Tiên lượng'!D10</f>
        <v>Xúc đá tảng, cục bê tông lên phương tiện vận chuyển bằng máy đào 3,6m3, ĐK 0,4÷1m</v>
      </c>
      <c r="E12" s="804" t="str">
        <f>'Tiên lượng'!E10</f>
        <v>100m3</v>
      </c>
      <c r="F12" s="785">
        <f>'Tiên lượng'!M10</f>
        <v>0.53039999999999998</v>
      </c>
      <c r="G12" s="734">
        <v>0</v>
      </c>
      <c r="H12" s="734">
        <v>0</v>
      </c>
      <c r="I12" s="734">
        <v>0</v>
      </c>
      <c r="J12" s="516">
        <v>0</v>
      </c>
      <c r="K12" s="516">
        <v>0</v>
      </c>
      <c r="L12" s="516">
        <v>0</v>
      </c>
      <c r="M12" s="516">
        <v>0</v>
      </c>
      <c r="N12" s="516">
        <v>0</v>
      </c>
      <c r="O12" s="516">
        <v>0</v>
      </c>
      <c r="P12" s="516">
        <v>0</v>
      </c>
      <c r="Q12" s="516">
        <v>0</v>
      </c>
      <c r="R12" s="155">
        <v>0</v>
      </c>
      <c r="S12" s="874"/>
      <c r="T12" s="874"/>
      <c r="U12" s="874"/>
      <c r="V12" s="874"/>
      <c r="W12" s="874"/>
      <c r="X12" s="874"/>
      <c r="Y12" s="874"/>
      <c r="Z12" s="874"/>
      <c r="AA12" s="874"/>
    </row>
    <row r="13" spans="1:27" x14ac:dyDescent="0.25">
      <c r="A13" s="849"/>
      <c r="B13" s="875">
        <v>0</v>
      </c>
      <c r="C13" s="810" t="s">
        <v>125</v>
      </c>
      <c r="D13" s="416" t="s">
        <v>890</v>
      </c>
      <c r="E13" s="875"/>
      <c r="F13" s="856">
        <v>0</v>
      </c>
      <c r="G13" s="806">
        <v>0</v>
      </c>
      <c r="H13" s="806"/>
      <c r="I13" s="806">
        <v>0</v>
      </c>
      <c r="J13" s="219">
        <v>0</v>
      </c>
      <c r="K13" s="219">
        <f>SUM(K14:K14)</f>
        <v>153174.06</v>
      </c>
      <c r="L13" s="219">
        <v>0</v>
      </c>
      <c r="M13" s="219">
        <f>SUM(M14:M14)</f>
        <v>153174.06</v>
      </c>
      <c r="N13" s="219">
        <v>0</v>
      </c>
      <c r="O13" s="219">
        <v>0</v>
      </c>
      <c r="P13" s="219">
        <v>0</v>
      </c>
      <c r="Q13" s="219">
        <f>SUM(Q14:Q14)</f>
        <v>153174.06</v>
      </c>
      <c r="R13" s="448">
        <v>0</v>
      </c>
      <c r="S13" s="874"/>
      <c r="T13" s="874"/>
      <c r="U13" s="874"/>
      <c r="V13" s="874"/>
      <c r="W13" s="874"/>
      <c r="X13" s="874"/>
      <c r="Y13" s="874"/>
      <c r="Z13" s="874"/>
      <c r="AA13" s="874"/>
    </row>
    <row r="14" spans="1:27" x14ac:dyDescent="0.25">
      <c r="A14" s="259"/>
      <c r="B14" s="199">
        <v>0</v>
      </c>
      <c r="C14" s="122" t="s">
        <v>591</v>
      </c>
      <c r="D14" s="646" t="str">
        <f>" - " &amp; 'Giá NC'!E5</f>
        <v xml:space="preserve"> - Nhân công bậc 3,0/7 - Nhóm 1</v>
      </c>
      <c r="E14" s="199" t="str">
        <f>'Giá NC'!F5</f>
        <v>công</v>
      </c>
      <c r="F14" s="186">
        <v>0</v>
      </c>
      <c r="G14" s="115">
        <v>0.67</v>
      </c>
      <c r="H14" s="115">
        <f>'Tiên lượng'!W10</f>
        <v>1</v>
      </c>
      <c r="I14" s="115">
        <f>PRODUCT(F12, G14, H14)</f>
        <v>0.35536800000000002</v>
      </c>
      <c r="J14" s="431">
        <f>'Giá NC'!G5</f>
        <v>228618</v>
      </c>
      <c r="K14" s="431">
        <f>PRODUCT(G14, H14, J14)</f>
        <v>153174.06</v>
      </c>
      <c r="L14" s="431">
        <f>'Giá NC'!H5</f>
        <v>228618</v>
      </c>
      <c r="M14" s="431">
        <f>PRODUCT(G14, H14, L14)</f>
        <v>153174.06</v>
      </c>
      <c r="N14" s="431">
        <v>0</v>
      </c>
      <c r="O14" s="431">
        <v>0</v>
      </c>
      <c r="P14" s="431">
        <f>'Giá NC'!K5</f>
        <v>228618</v>
      </c>
      <c r="Q14" s="431">
        <f>PRODUCT(G14, H14, P14)</f>
        <v>153174.06</v>
      </c>
      <c r="R14" s="448">
        <v>0</v>
      </c>
      <c r="S14" s="874"/>
      <c r="T14" s="874"/>
      <c r="U14" s="874"/>
      <c r="V14" s="874"/>
      <c r="W14" s="874"/>
      <c r="X14" s="874"/>
      <c r="Y14" s="874"/>
      <c r="Z14" s="874"/>
      <c r="AA14" s="874"/>
    </row>
    <row r="15" spans="1:27" x14ac:dyDescent="0.25">
      <c r="A15" s="849"/>
      <c r="B15" s="875">
        <v>0</v>
      </c>
      <c r="C15" s="810" t="s">
        <v>539</v>
      </c>
      <c r="D15" s="416" t="s">
        <v>556</v>
      </c>
      <c r="E15" s="875"/>
      <c r="F15" s="856">
        <v>0</v>
      </c>
      <c r="G15" s="806">
        <v>0</v>
      </c>
      <c r="H15" s="806"/>
      <c r="I15" s="806">
        <v>0</v>
      </c>
      <c r="J15" s="219">
        <v>0</v>
      </c>
      <c r="K15" s="219">
        <f>SUM(K16:K16)</f>
        <v>8401999.0040000007</v>
      </c>
      <c r="L15" s="219">
        <v>0</v>
      </c>
      <c r="M15" s="219">
        <f>SUM(M16:M16)</f>
        <v>8401999.0040000007</v>
      </c>
      <c r="N15" s="219">
        <v>0</v>
      </c>
      <c r="O15" s="219">
        <v>0</v>
      </c>
      <c r="P15" s="219">
        <v>0</v>
      </c>
      <c r="Q15" s="219">
        <f>SUM(Q16:Q16)</f>
        <v>8401999.0040000007</v>
      </c>
      <c r="R15" s="448">
        <v>0</v>
      </c>
      <c r="S15" s="874"/>
      <c r="T15" s="874"/>
      <c r="U15" s="874"/>
      <c r="V15" s="874"/>
      <c r="W15" s="874"/>
      <c r="X15" s="874"/>
      <c r="Y15" s="874"/>
      <c r="Z15" s="874"/>
      <c r="AA15" s="874"/>
    </row>
    <row r="16" spans="1:27" x14ac:dyDescent="0.25">
      <c r="A16" s="801"/>
      <c r="B16" s="748">
        <v>0</v>
      </c>
      <c r="C16" s="145" t="s">
        <v>68</v>
      </c>
      <c r="D16" s="272" t="str">
        <f>" - " &amp; 'Giá Máy'!E12</f>
        <v xml:space="preserve"> - Máy đào 3,6m3</v>
      </c>
      <c r="E16" s="748" t="str">
        <f>'Giá Máy'!F12</f>
        <v>ca</v>
      </c>
      <c r="F16" s="736">
        <v>0</v>
      </c>
      <c r="G16" s="678">
        <v>0.97299999999999998</v>
      </c>
      <c r="H16" s="678">
        <f>'Tiên lượng'!X10</f>
        <v>1</v>
      </c>
      <c r="I16" s="678">
        <f>PRODUCT(F12, G16, H16)</f>
        <v>0.51607919999999996</v>
      </c>
      <c r="J16" s="450">
        <f>'Giá Máy'!G12</f>
        <v>8635148</v>
      </c>
      <c r="K16" s="450">
        <f>PRODUCT(G16, H16, J16)</f>
        <v>8401999.0040000007</v>
      </c>
      <c r="L16" s="450">
        <f>'Giá Máy'!H12</f>
        <v>8635148</v>
      </c>
      <c r="M16" s="450">
        <f>PRODUCT(G16, H16, L16)</f>
        <v>8401999.0040000007</v>
      </c>
      <c r="N16" s="450">
        <v>0</v>
      </c>
      <c r="O16" s="450">
        <v>0</v>
      </c>
      <c r="P16" s="450">
        <f>'Giá Máy'!O12</f>
        <v>8635148</v>
      </c>
      <c r="Q16" s="450">
        <f>PRODUCT(G16, H16, P16)</f>
        <v>8401999.0040000007</v>
      </c>
      <c r="R16" s="82">
        <v>0</v>
      </c>
      <c r="S16" s="874"/>
      <c r="T16" s="874"/>
      <c r="U16" s="874"/>
      <c r="V16" s="874"/>
      <c r="W16" s="874"/>
      <c r="X16" s="874"/>
      <c r="Y16" s="874"/>
      <c r="Z16" s="874"/>
      <c r="AA16" s="874"/>
    </row>
    <row r="17" spans="1:27" ht="30" x14ac:dyDescent="0.25">
      <c r="A17" s="851"/>
      <c r="B17" s="804">
        <v>3</v>
      </c>
      <c r="C17" s="575" t="s">
        <v>1159</v>
      </c>
      <c r="D17" s="342" t="str">
        <f>'Tiên lượng'!D12</f>
        <v>Vận chuyển đá tảng, cục bê tông, ĐK 0,4÷1m, ô tô tự đổ 12T trong phạm vi ≤1000m</v>
      </c>
      <c r="E17" s="804" t="str">
        <f>'Tiên lượng'!E12</f>
        <v>100m3</v>
      </c>
      <c r="F17" s="785">
        <f>'Tiên lượng'!M12</f>
        <v>0.53039999999999998</v>
      </c>
      <c r="G17" s="734">
        <v>0</v>
      </c>
      <c r="H17" s="734">
        <v>0</v>
      </c>
      <c r="I17" s="734">
        <v>0</v>
      </c>
      <c r="J17" s="516">
        <v>0</v>
      </c>
      <c r="K17" s="516">
        <v>0</v>
      </c>
      <c r="L17" s="516">
        <v>0</v>
      </c>
      <c r="M17" s="516">
        <v>0</v>
      </c>
      <c r="N17" s="516">
        <v>0</v>
      </c>
      <c r="O17" s="516">
        <v>0</v>
      </c>
      <c r="P17" s="516">
        <v>0</v>
      </c>
      <c r="Q17" s="516">
        <v>0</v>
      </c>
      <c r="R17" s="155">
        <v>0</v>
      </c>
      <c r="S17" s="874"/>
      <c r="T17" s="874"/>
      <c r="U17" s="874"/>
      <c r="V17" s="874"/>
      <c r="W17" s="874"/>
      <c r="X17" s="874"/>
      <c r="Y17" s="874"/>
      <c r="Z17" s="874"/>
      <c r="AA17" s="874"/>
    </row>
    <row r="18" spans="1:27" x14ac:dyDescent="0.25">
      <c r="A18" s="849"/>
      <c r="B18" s="875">
        <v>0</v>
      </c>
      <c r="C18" s="810" t="s">
        <v>539</v>
      </c>
      <c r="D18" s="416" t="s">
        <v>556</v>
      </c>
      <c r="E18" s="875"/>
      <c r="F18" s="856">
        <v>0</v>
      </c>
      <c r="G18" s="806">
        <v>0</v>
      </c>
      <c r="H18" s="806"/>
      <c r="I18" s="806">
        <v>0</v>
      </c>
      <c r="J18" s="219">
        <v>0</v>
      </c>
      <c r="K18" s="219">
        <f>SUM(K19:K19)</f>
        <v>7400473.6320000002</v>
      </c>
      <c r="L18" s="219">
        <v>0</v>
      </c>
      <c r="M18" s="219">
        <f>SUM(M19:M19)</f>
        <v>7400473.6320000002</v>
      </c>
      <c r="N18" s="219">
        <v>0</v>
      </c>
      <c r="O18" s="219">
        <v>0</v>
      </c>
      <c r="P18" s="219">
        <v>0</v>
      </c>
      <c r="Q18" s="219">
        <f>SUM(Q19:Q19)</f>
        <v>7400473.6320000002</v>
      </c>
      <c r="R18" s="448">
        <v>0</v>
      </c>
      <c r="S18" s="874"/>
      <c r="T18" s="874"/>
      <c r="U18" s="874"/>
      <c r="V18" s="874"/>
      <c r="W18" s="874"/>
      <c r="X18" s="874"/>
      <c r="Y18" s="874"/>
      <c r="Z18" s="874"/>
      <c r="AA18" s="874"/>
    </row>
    <row r="19" spans="1:27" x14ac:dyDescent="0.25">
      <c r="A19" s="801"/>
      <c r="B19" s="748">
        <v>0</v>
      </c>
      <c r="C19" s="145" t="s">
        <v>111</v>
      </c>
      <c r="D19" s="272" t="str">
        <f>" - " &amp; 'Giá Máy'!E17</f>
        <v xml:space="preserve"> - Ô tô tự đổ 12T</v>
      </c>
      <c r="E19" s="748" t="str">
        <f>'Giá Máy'!F17</f>
        <v>ca</v>
      </c>
      <c r="F19" s="736">
        <v>0</v>
      </c>
      <c r="G19" s="678">
        <v>3.1520000000000001</v>
      </c>
      <c r="H19" s="678">
        <f>'Tiên lượng'!X12</f>
        <v>1</v>
      </c>
      <c r="I19" s="678">
        <f>PRODUCT(F17, G19, H19)</f>
        <v>1.6718208000000001</v>
      </c>
      <c r="J19" s="450">
        <f>'Giá Máy'!G17</f>
        <v>2347866</v>
      </c>
      <c r="K19" s="450">
        <f>PRODUCT(G19, H19, J19)</f>
        <v>7400473.6320000002</v>
      </c>
      <c r="L19" s="450">
        <f>'Giá Máy'!H17</f>
        <v>2347866</v>
      </c>
      <c r="M19" s="450">
        <f>PRODUCT(G19, H19, L19)</f>
        <v>7400473.6320000002</v>
      </c>
      <c r="N19" s="450">
        <v>0</v>
      </c>
      <c r="O19" s="450">
        <v>0</v>
      </c>
      <c r="P19" s="450">
        <f>'Giá Máy'!O17</f>
        <v>2347866</v>
      </c>
      <c r="Q19" s="450">
        <f>PRODUCT(G19, H19, P19)</f>
        <v>7400473.6320000002</v>
      </c>
      <c r="R19" s="82">
        <v>0</v>
      </c>
      <c r="S19" s="874"/>
      <c r="T19" s="874"/>
      <c r="U19" s="874"/>
      <c r="V19" s="874"/>
      <c r="W19" s="874"/>
      <c r="X19" s="874"/>
      <c r="Y19" s="874"/>
      <c r="Z19" s="874"/>
      <c r="AA19" s="874"/>
    </row>
    <row r="20" spans="1:27" ht="30" x14ac:dyDescent="0.25">
      <c r="A20" s="851"/>
      <c r="B20" s="804">
        <v>4</v>
      </c>
      <c r="C20" s="575" t="s">
        <v>172</v>
      </c>
      <c r="D20" s="342" t="str">
        <f>'Tiên lượng'!D13</f>
        <v>Đào xúc đất sạt lở ta luy đồi xuống đường bằng máy xúc đào 0,4m3</v>
      </c>
      <c r="E20" s="804" t="str">
        <f>'Tiên lượng'!E13</f>
        <v>ca</v>
      </c>
      <c r="F20" s="785">
        <f>'Tiên lượng'!M13</f>
        <v>2</v>
      </c>
      <c r="G20" s="734">
        <v>0</v>
      </c>
      <c r="H20" s="734">
        <v>0</v>
      </c>
      <c r="I20" s="734">
        <v>0</v>
      </c>
      <c r="J20" s="516">
        <v>0</v>
      </c>
      <c r="K20" s="516">
        <v>0</v>
      </c>
      <c r="L20" s="516">
        <v>0</v>
      </c>
      <c r="M20" s="516">
        <v>0</v>
      </c>
      <c r="N20" s="516">
        <v>0</v>
      </c>
      <c r="O20" s="516">
        <v>0</v>
      </c>
      <c r="P20" s="516">
        <v>0</v>
      </c>
      <c r="Q20" s="516">
        <v>0</v>
      </c>
      <c r="R20" s="155">
        <v>0</v>
      </c>
      <c r="S20" s="874"/>
      <c r="T20" s="874"/>
      <c r="U20" s="874"/>
      <c r="V20" s="874"/>
      <c r="W20" s="874"/>
      <c r="X20" s="874"/>
      <c r="Y20" s="874"/>
      <c r="Z20" s="874"/>
      <c r="AA20" s="874"/>
    </row>
    <row r="21" spans="1:27" x14ac:dyDescent="0.25">
      <c r="A21" s="849"/>
      <c r="B21" s="875">
        <v>0</v>
      </c>
      <c r="C21" s="810" t="s">
        <v>479</v>
      </c>
      <c r="D21" s="416" t="s">
        <v>1372</v>
      </c>
      <c r="E21" s="875"/>
      <c r="F21" s="856">
        <v>0</v>
      </c>
      <c r="G21" s="806">
        <v>0</v>
      </c>
      <c r="H21" s="806">
        <v>1</v>
      </c>
      <c r="I21" s="806">
        <v>0</v>
      </c>
      <c r="J21" s="219">
        <v>0</v>
      </c>
      <c r="K21" s="219">
        <f>SUM(K22:K22)</f>
        <v>0</v>
      </c>
      <c r="L21" s="219">
        <v>0</v>
      </c>
      <c r="M21" s="219">
        <f>SUM(M22:M22)</f>
        <v>0</v>
      </c>
      <c r="N21" s="219">
        <v>0</v>
      </c>
      <c r="O21" s="219">
        <v>0</v>
      </c>
      <c r="P21" s="219">
        <v>0</v>
      </c>
      <c r="Q21" s="219">
        <f>SUM(Q22:Q22)</f>
        <v>0</v>
      </c>
      <c r="R21" s="448">
        <v>0</v>
      </c>
      <c r="S21" s="874"/>
      <c r="T21" s="874"/>
      <c r="U21" s="874"/>
      <c r="V21" s="874"/>
      <c r="W21" s="874"/>
      <c r="X21" s="874"/>
      <c r="Y21" s="874"/>
      <c r="Z21" s="874"/>
      <c r="AA21" s="874"/>
    </row>
    <row r="22" spans="1:27" x14ac:dyDescent="0.25">
      <c r="A22" s="259"/>
      <c r="B22" s="199">
        <v>0</v>
      </c>
      <c r="C22" s="378" t="s">
        <v>306</v>
      </c>
      <c r="D22" s="646" t="s">
        <v>864</v>
      </c>
      <c r="E22" s="199"/>
      <c r="F22" s="186">
        <v>0</v>
      </c>
      <c r="G22" s="115">
        <v>1</v>
      </c>
      <c r="H22" s="115">
        <f>'Tiên lượng'!V13</f>
        <v>1</v>
      </c>
      <c r="I22" s="115">
        <f>PRODUCT(F20, G22, H22)</f>
        <v>2</v>
      </c>
      <c r="J22" s="431">
        <v>0</v>
      </c>
      <c r="K22" s="431">
        <f>PRODUCT(G22, H22, J22)</f>
        <v>0</v>
      </c>
      <c r="L22" s="431">
        <v>0</v>
      </c>
      <c r="M22" s="431">
        <f>PRODUCT(G22, H22, L22)</f>
        <v>0</v>
      </c>
      <c r="N22" s="431">
        <v>0</v>
      </c>
      <c r="O22" s="431">
        <v>0</v>
      </c>
      <c r="P22" s="431">
        <v>0</v>
      </c>
      <c r="Q22" s="431">
        <f>PRODUCT(G22, H22, P22)</f>
        <v>0</v>
      </c>
      <c r="R22" s="448">
        <v>0</v>
      </c>
      <c r="S22" s="874"/>
      <c r="T22" s="874"/>
      <c r="U22" s="874"/>
      <c r="V22" s="874"/>
      <c r="W22" s="874"/>
      <c r="X22" s="874"/>
      <c r="Y22" s="874"/>
      <c r="Z22" s="874"/>
      <c r="AA22" s="874"/>
    </row>
    <row r="23" spans="1:27" x14ac:dyDescent="0.25">
      <c r="A23" s="849"/>
      <c r="B23" s="875">
        <v>0</v>
      </c>
      <c r="C23" s="810" t="s">
        <v>125</v>
      </c>
      <c r="D23" s="416" t="s">
        <v>890</v>
      </c>
      <c r="E23" s="875"/>
      <c r="F23" s="856">
        <v>0</v>
      </c>
      <c r="G23" s="806">
        <v>0</v>
      </c>
      <c r="H23" s="806">
        <v>1</v>
      </c>
      <c r="I23" s="806">
        <v>0</v>
      </c>
      <c r="J23" s="219">
        <v>0</v>
      </c>
      <c r="K23" s="219">
        <f>SUM(K24:K24)</f>
        <v>0</v>
      </c>
      <c r="L23" s="219">
        <v>0</v>
      </c>
      <c r="M23" s="219">
        <f>SUM(M24:M24)</f>
        <v>0</v>
      </c>
      <c r="N23" s="219">
        <v>0</v>
      </c>
      <c r="O23" s="219">
        <v>0</v>
      </c>
      <c r="P23" s="219">
        <v>0</v>
      </c>
      <c r="Q23" s="219">
        <f>SUM(Q24:Q24)</f>
        <v>0</v>
      </c>
      <c r="R23" s="448">
        <v>0</v>
      </c>
      <c r="S23" s="874"/>
      <c r="T23" s="874"/>
      <c r="U23" s="874"/>
      <c r="V23" s="874"/>
      <c r="W23" s="874"/>
      <c r="X23" s="874"/>
      <c r="Y23" s="874"/>
      <c r="Z23" s="874"/>
      <c r="AA23" s="874"/>
    </row>
    <row r="24" spans="1:27" x14ac:dyDescent="0.25">
      <c r="A24" s="259"/>
      <c r="B24" s="199">
        <v>0</v>
      </c>
      <c r="C24" s="378" t="s">
        <v>306</v>
      </c>
      <c r="D24" s="646" t="s">
        <v>492</v>
      </c>
      <c r="E24" s="199"/>
      <c r="F24" s="186">
        <v>0</v>
      </c>
      <c r="G24" s="115">
        <v>1</v>
      </c>
      <c r="H24" s="115">
        <f>'Tiên lượng'!W13</f>
        <v>1</v>
      </c>
      <c r="I24" s="115">
        <f>PRODUCT(F20, G24, H24)</f>
        <v>2</v>
      </c>
      <c r="J24" s="431">
        <v>0</v>
      </c>
      <c r="K24" s="431">
        <f>PRODUCT(G24, H24, J24)</f>
        <v>0</v>
      </c>
      <c r="L24" s="431">
        <v>0</v>
      </c>
      <c r="M24" s="431">
        <f>PRODUCT(G24, H24, L24)</f>
        <v>0</v>
      </c>
      <c r="N24" s="431">
        <v>0</v>
      </c>
      <c r="O24" s="431">
        <v>0</v>
      </c>
      <c r="P24" s="431">
        <v>0</v>
      </c>
      <c r="Q24" s="431">
        <f>PRODUCT(G24, H24, P24)</f>
        <v>0</v>
      </c>
      <c r="R24" s="448">
        <v>0</v>
      </c>
      <c r="S24" s="874"/>
      <c r="T24" s="874"/>
      <c r="U24" s="874"/>
      <c r="V24" s="874"/>
      <c r="W24" s="874"/>
      <c r="X24" s="874"/>
      <c r="Y24" s="874"/>
      <c r="Z24" s="874"/>
      <c r="AA24" s="874"/>
    </row>
    <row r="25" spans="1:27" x14ac:dyDescent="0.25">
      <c r="A25" s="849"/>
      <c r="B25" s="875">
        <v>0</v>
      </c>
      <c r="C25" s="810" t="s">
        <v>539</v>
      </c>
      <c r="D25" s="416" t="s">
        <v>556</v>
      </c>
      <c r="E25" s="875"/>
      <c r="F25" s="856">
        <v>0</v>
      </c>
      <c r="G25" s="806">
        <v>0</v>
      </c>
      <c r="H25" s="806">
        <v>1</v>
      </c>
      <c r="I25" s="806">
        <v>0</v>
      </c>
      <c r="J25" s="219">
        <v>0</v>
      </c>
      <c r="K25" s="219">
        <f>SUM(K26:K26)</f>
        <v>3200000</v>
      </c>
      <c r="L25" s="219">
        <v>0</v>
      </c>
      <c r="M25" s="219">
        <f>SUM(M26:M26)</f>
        <v>3200000</v>
      </c>
      <c r="N25" s="219">
        <v>0</v>
      </c>
      <c r="O25" s="219">
        <v>0</v>
      </c>
      <c r="P25" s="219">
        <v>0</v>
      </c>
      <c r="Q25" s="219">
        <f>SUM(Q26:Q26)</f>
        <v>3200000</v>
      </c>
      <c r="R25" s="448">
        <v>0</v>
      </c>
      <c r="S25" s="874"/>
      <c r="T25" s="874"/>
      <c r="U25" s="874"/>
      <c r="V25" s="874"/>
      <c r="W25" s="874"/>
      <c r="X25" s="874"/>
      <c r="Y25" s="874"/>
      <c r="Z25" s="874"/>
      <c r="AA25" s="874"/>
    </row>
    <row r="26" spans="1:27" x14ac:dyDescent="0.25">
      <c r="A26" s="801"/>
      <c r="B26" s="748">
        <v>0</v>
      </c>
      <c r="C26" s="394" t="s">
        <v>306</v>
      </c>
      <c r="D26" s="272" t="s">
        <v>6</v>
      </c>
      <c r="E26" s="748"/>
      <c r="F26" s="736">
        <v>0</v>
      </c>
      <c r="G26" s="678">
        <v>1</v>
      </c>
      <c r="H26" s="678">
        <f>'Tiên lượng'!X13</f>
        <v>1</v>
      </c>
      <c r="I26" s="678">
        <f>PRODUCT(F20, G26, H26)</f>
        <v>2</v>
      </c>
      <c r="J26" s="450">
        <v>3200000</v>
      </c>
      <c r="K26" s="450">
        <f>PRODUCT(G26, H26, J26)</f>
        <v>3200000</v>
      </c>
      <c r="L26" s="450">
        <v>3200000</v>
      </c>
      <c r="M26" s="450">
        <f>PRODUCT(G26, H26, L26)</f>
        <v>3200000</v>
      </c>
      <c r="N26" s="450">
        <v>0</v>
      </c>
      <c r="O26" s="450">
        <v>0</v>
      </c>
      <c r="P26" s="450">
        <v>3200000</v>
      </c>
      <c r="Q26" s="450">
        <f>PRODUCT(G26, H26, P26)</f>
        <v>3200000</v>
      </c>
      <c r="R26" s="82">
        <v>0</v>
      </c>
      <c r="S26" s="874"/>
      <c r="T26" s="874"/>
      <c r="U26" s="874"/>
      <c r="V26" s="874"/>
      <c r="W26" s="874"/>
      <c r="X26" s="874"/>
      <c r="Y26" s="874"/>
      <c r="Z26" s="874"/>
      <c r="AA26" s="874"/>
    </row>
    <row r="27" spans="1:27" x14ac:dyDescent="0.25">
      <c r="A27" s="851"/>
      <c r="B27" s="804">
        <v>5</v>
      </c>
      <c r="C27" s="575" t="s">
        <v>172</v>
      </c>
      <c r="D27" s="342" t="str">
        <f>'Tiên lượng'!D14</f>
        <v>vận chuyển đất sạt lở ta luy đồi bằng ô tô</v>
      </c>
      <c r="E27" s="804" t="str">
        <f>'Tiên lượng'!E14</f>
        <v>ca</v>
      </c>
      <c r="F27" s="785">
        <f>'Tiên lượng'!M14</f>
        <v>2</v>
      </c>
      <c r="G27" s="734">
        <v>0</v>
      </c>
      <c r="H27" s="734">
        <v>0</v>
      </c>
      <c r="I27" s="734">
        <v>0</v>
      </c>
      <c r="J27" s="516">
        <v>0</v>
      </c>
      <c r="K27" s="516">
        <v>0</v>
      </c>
      <c r="L27" s="516">
        <v>0</v>
      </c>
      <c r="M27" s="516">
        <v>0</v>
      </c>
      <c r="N27" s="516">
        <v>0</v>
      </c>
      <c r="O27" s="516">
        <v>0</v>
      </c>
      <c r="P27" s="516">
        <v>0</v>
      </c>
      <c r="Q27" s="516">
        <v>0</v>
      </c>
      <c r="R27" s="155">
        <v>0</v>
      </c>
      <c r="S27" s="874"/>
      <c r="T27" s="874"/>
      <c r="U27" s="874"/>
      <c r="V27" s="874"/>
      <c r="W27" s="874"/>
      <c r="X27" s="874"/>
      <c r="Y27" s="874"/>
      <c r="Z27" s="874"/>
      <c r="AA27" s="874"/>
    </row>
    <row r="28" spans="1:27" x14ac:dyDescent="0.25">
      <c r="A28" s="849"/>
      <c r="B28" s="875">
        <v>0</v>
      </c>
      <c r="C28" s="810" t="s">
        <v>479</v>
      </c>
      <c r="D28" s="416" t="s">
        <v>1372</v>
      </c>
      <c r="E28" s="875"/>
      <c r="F28" s="856">
        <v>0</v>
      </c>
      <c r="G28" s="806">
        <v>0</v>
      </c>
      <c r="H28" s="806">
        <v>1</v>
      </c>
      <c r="I28" s="806">
        <v>0</v>
      </c>
      <c r="J28" s="219">
        <v>0</v>
      </c>
      <c r="K28" s="219">
        <f>SUM(K29:K29)</f>
        <v>0</v>
      </c>
      <c r="L28" s="219">
        <v>0</v>
      </c>
      <c r="M28" s="219">
        <f>SUM(M29:M29)</f>
        <v>0</v>
      </c>
      <c r="N28" s="219">
        <v>0</v>
      </c>
      <c r="O28" s="219">
        <v>0</v>
      </c>
      <c r="P28" s="219">
        <v>0</v>
      </c>
      <c r="Q28" s="219">
        <f>SUM(Q29:Q29)</f>
        <v>0</v>
      </c>
      <c r="R28" s="448">
        <v>0</v>
      </c>
      <c r="S28" s="874"/>
      <c r="T28" s="874"/>
      <c r="U28" s="874"/>
      <c r="V28" s="874"/>
      <c r="W28" s="874"/>
      <c r="X28" s="874"/>
      <c r="Y28" s="874"/>
      <c r="Z28" s="874"/>
      <c r="AA28" s="874"/>
    </row>
    <row r="29" spans="1:27" x14ac:dyDescent="0.25">
      <c r="A29" s="259"/>
      <c r="B29" s="199">
        <v>0</v>
      </c>
      <c r="C29" s="378" t="s">
        <v>306</v>
      </c>
      <c r="D29" s="646" t="s">
        <v>864</v>
      </c>
      <c r="E29" s="199"/>
      <c r="F29" s="186">
        <v>0</v>
      </c>
      <c r="G29" s="115">
        <v>1</v>
      </c>
      <c r="H29" s="115">
        <f>'Tiên lượng'!V14</f>
        <v>1</v>
      </c>
      <c r="I29" s="115">
        <f>PRODUCT(F27, G29, H29)</f>
        <v>2</v>
      </c>
      <c r="J29" s="431">
        <v>0</v>
      </c>
      <c r="K29" s="431">
        <f>PRODUCT(G29, H29, J29)</f>
        <v>0</v>
      </c>
      <c r="L29" s="431">
        <v>0</v>
      </c>
      <c r="M29" s="431">
        <f>PRODUCT(G29, H29, L29)</f>
        <v>0</v>
      </c>
      <c r="N29" s="431">
        <v>0</v>
      </c>
      <c r="O29" s="431">
        <v>0</v>
      </c>
      <c r="P29" s="431">
        <v>0</v>
      </c>
      <c r="Q29" s="431">
        <f>PRODUCT(G29, H29, P29)</f>
        <v>0</v>
      </c>
      <c r="R29" s="448">
        <v>0</v>
      </c>
      <c r="S29" s="874"/>
      <c r="T29" s="874"/>
      <c r="U29" s="874"/>
      <c r="V29" s="874"/>
      <c r="W29" s="874"/>
      <c r="X29" s="874"/>
      <c r="Y29" s="874"/>
      <c r="Z29" s="874"/>
      <c r="AA29" s="874"/>
    </row>
    <row r="30" spans="1:27" x14ac:dyDescent="0.25">
      <c r="A30" s="849"/>
      <c r="B30" s="875">
        <v>0</v>
      </c>
      <c r="C30" s="810" t="s">
        <v>125</v>
      </c>
      <c r="D30" s="416" t="s">
        <v>890</v>
      </c>
      <c r="E30" s="875"/>
      <c r="F30" s="856">
        <v>0</v>
      </c>
      <c r="G30" s="806">
        <v>0</v>
      </c>
      <c r="H30" s="806">
        <v>1</v>
      </c>
      <c r="I30" s="806">
        <v>0</v>
      </c>
      <c r="J30" s="219">
        <v>0</v>
      </c>
      <c r="K30" s="219">
        <f>SUM(K31:K31)</f>
        <v>0</v>
      </c>
      <c r="L30" s="219">
        <v>0</v>
      </c>
      <c r="M30" s="219">
        <f>SUM(M31:M31)</f>
        <v>0</v>
      </c>
      <c r="N30" s="219">
        <v>0</v>
      </c>
      <c r="O30" s="219">
        <v>0</v>
      </c>
      <c r="P30" s="219">
        <v>0</v>
      </c>
      <c r="Q30" s="219">
        <f>SUM(Q31:Q31)</f>
        <v>0</v>
      </c>
      <c r="R30" s="448">
        <v>0</v>
      </c>
      <c r="S30" s="874"/>
      <c r="T30" s="874"/>
      <c r="U30" s="874"/>
      <c r="V30" s="874"/>
      <c r="W30" s="874"/>
      <c r="X30" s="874"/>
      <c r="Y30" s="874"/>
      <c r="Z30" s="874"/>
      <c r="AA30" s="874"/>
    </row>
    <row r="31" spans="1:27" x14ac:dyDescent="0.25">
      <c r="A31" s="259"/>
      <c r="B31" s="199">
        <v>0</v>
      </c>
      <c r="C31" s="378" t="s">
        <v>306</v>
      </c>
      <c r="D31" s="646" t="s">
        <v>492</v>
      </c>
      <c r="E31" s="199"/>
      <c r="F31" s="186">
        <v>0</v>
      </c>
      <c r="G31" s="115">
        <v>1</v>
      </c>
      <c r="H31" s="115">
        <f>'Tiên lượng'!W14</f>
        <v>1</v>
      </c>
      <c r="I31" s="115">
        <f>PRODUCT(F27, G31, H31)</f>
        <v>2</v>
      </c>
      <c r="J31" s="431">
        <v>0</v>
      </c>
      <c r="K31" s="431">
        <f>PRODUCT(G31, H31, J31)</f>
        <v>0</v>
      </c>
      <c r="L31" s="431">
        <v>0</v>
      </c>
      <c r="M31" s="431">
        <f>PRODUCT(G31, H31, L31)</f>
        <v>0</v>
      </c>
      <c r="N31" s="431">
        <v>0</v>
      </c>
      <c r="O31" s="431">
        <v>0</v>
      </c>
      <c r="P31" s="431">
        <v>0</v>
      </c>
      <c r="Q31" s="431">
        <f>PRODUCT(G31, H31, P31)</f>
        <v>0</v>
      </c>
      <c r="R31" s="448">
        <v>0</v>
      </c>
      <c r="S31" s="874"/>
      <c r="T31" s="874"/>
      <c r="U31" s="874"/>
      <c r="V31" s="874"/>
      <c r="W31" s="874"/>
      <c r="X31" s="874"/>
      <c r="Y31" s="874"/>
      <c r="Z31" s="874"/>
      <c r="AA31" s="874"/>
    </row>
    <row r="32" spans="1:27" x14ac:dyDescent="0.25">
      <c r="A32" s="849"/>
      <c r="B32" s="875">
        <v>0</v>
      </c>
      <c r="C32" s="810" t="s">
        <v>539</v>
      </c>
      <c r="D32" s="416" t="s">
        <v>556</v>
      </c>
      <c r="E32" s="875"/>
      <c r="F32" s="856">
        <v>0</v>
      </c>
      <c r="G32" s="806">
        <v>0</v>
      </c>
      <c r="H32" s="806">
        <v>1</v>
      </c>
      <c r="I32" s="806">
        <v>0</v>
      </c>
      <c r="J32" s="219">
        <v>0</v>
      </c>
      <c r="K32" s="219">
        <f>SUM(K33:K33)</f>
        <v>2000000</v>
      </c>
      <c r="L32" s="219">
        <v>0</v>
      </c>
      <c r="M32" s="219">
        <f>SUM(M33:M33)</f>
        <v>2000000</v>
      </c>
      <c r="N32" s="219">
        <v>0</v>
      </c>
      <c r="O32" s="219">
        <v>0</v>
      </c>
      <c r="P32" s="219">
        <v>0</v>
      </c>
      <c r="Q32" s="219">
        <f>SUM(Q33:Q33)</f>
        <v>2000000</v>
      </c>
      <c r="R32" s="448">
        <v>0</v>
      </c>
      <c r="S32" s="874"/>
      <c r="T32" s="874"/>
      <c r="U32" s="874"/>
      <c r="V32" s="874"/>
      <c r="W32" s="874"/>
      <c r="X32" s="874"/>
      <c r="Y32" s="874"/>
      <c r="Z32" s="874"/>
      <c r="AA32" s="874"/>
    </row>
    <row r="33" spans="1:27" x14ac:dyDescent="0.25">
      <c r="A33" s="801"/>
      <c r="B33" s="748">
        <v>0</v>
      </c>
      <c r="C33" s="394" t="s">
        <v>306</v>
      </c>
      <c r="D33" s="272" t="s">
        <v>6</v>
      </c>
      <c r="E33" s="748"/>
      <c r="F33" s="736">
        <v>0</v>
      </c>
      <c r="G33" s="678">
        <v>1</v>
      </c>
      <c r="H33" s="678">
        <f>'Tiên lượng'!X14</f>
        <v>1</v>
      </c>
      <c r="I33" s="678">
        <f>PRODUCT(F27, G33, H33)</f>
        <v>2</v>
      </c>
      <c r="J33" s="450">
        <v>2000000</v>
      </c>
      <c r="K33" s="450">
        <f>PRODUCT(G33, H33, J33)</f>
        <v>2000000</v>
      </c>
      <c r="L33" s="450">
        <v>2000000</v>
      </c>
      <c r="M33" s="450">
        <f>PRODUCT(G33, H33, L33)</f>
        <v>2000000</v>
      </c>
      <c r="N33" s="450">
        <v>0</v>
      </c>
      <c r="O33" s="450">
        <v>0</v>
      </c>
      <c r="P33" s="450">
        <v>2000000</v>
      </c>
      <c r="Q33" s="450">
        <f>PRODUCT(G33, H33, P33)</f>
        <v>2000000</v>
      </c>
      <c r="R33" s="82">
        <v>0</v>
      </c>
      <c r="S33" s="874"/>
      <c r="T33" s="874"/>
      <c r="U33" s="874"/>
      <c r="V33" s="874"/>
      <c r="W33" s="874"/>
      <c r="X33" s="874"/>
      <c r="Y33" s="874"/>
      <c r="Z33" s="874"/>
      <c r="AA33" s="874"/>
    </row>
    <row r="34" spans="1:27" ht="45" x14ac:dyDescent="0.25">
      <c r="A34" s="851"/>
      <c r="B34" s="804">
        <v>6</v>
      </c>
      <c r="C34" s="575" t="s">
        <v>1331</v>
      </c>
      <c r="D34" s="342" t="str">
        <f>'Tiên lượng'!D15</f>
        <v>Đào nền đường bằng máy đào 0,4m3 - Cấp đất III (Bổ sung TT09/2024). Đào hạ nền đường trung bình 50cm, dài 50m</v>
      </c>
      <c r="E34" s="804" t="str">
        <f>'Tiên lượng'!E15</f>
        <v>100m3</v>
      </c>
      <c r="F34" s="785">
        <f>'Tiên lượng'!M15</f>
        <v>0.875</v>
      </c>
      <c r="G34" s="734">
        <v>0</v>
      </c>
      <c r="H34" s="734">
        <v>0</v>
      </c>
      <c r="I34" s="734">
        <v>0</v>
      </c>
      <c r="J34" s="516">
        <v>0</v>
      </c>
      <c r="K34" s="516">
        <v>0</v>
      </c>
      <c r="L34" s="516">
        <v>0</v>
      </c>
      <c r="M34" s="516">
        <v>0</v>
      </c>
      <c r="N34" s="516">
        <v>0</v>
      </c>
      <c r="O34" s="516">
        <v>0</v>
      </c>
      <c r="P34" s="516">
        <v>0</v>
      </c>
      <c r="Q34" s="516">
        <v>0</v>
      </c>
      <c r="R34" s="155">
        <v>0</v>
      </c>
      <c r="S34" s="874"/>
      <c r="T34" s="874"/>
      <c r="U34" s="874"/>
      <c r="V34" s="874"/>
      <c r="W34" s="874"/>
      <c r="X34" s="874"/>
      <c r="Y34" s="874"/>
      <c r="Z34" s="874"/>
      <c r="AA34" s="874"/>
    </row>
    <row r="35" spans="1:27" x14ac:dyDescent="0.25">
      <c r="A35" s="849"/>
      <c r="B35" s="875">
        <v>0</v>
      </c>
      <c r="C35" s="810" t="s">
        <v>125</v>
      </c>
      <c r="D35" s="416" t="s">
        <v>890</v>
      </c>
      <c r="E35" s="875"/>
      <c r="F35" s="856">
        <v>0</v>
      </c>
      <c r="G35" s="806">
        <v>0</v>
      </c>
      <c r="H35" s="806"/>
      <c r="I35" s="806">
        <v>0</v>
      </c>
      <c r="J35" s="219">
        <v>0</v>
      </c>
      <c r="K35" s="219">
        <f>SUM(K36:K36)</f>
        <v>951050.88</v>
      </c>
      <c r="L35" s="219">
        <v>0</v>
      </c>
      <c r="M35" s="219">
        <f>SUM(M36:M36)</f>
        <v>951050.88</v>
      </c>
      <c r="N35" s="219">
        <v>0</v>
      </c>
      <c r="O35" s="219">
        <v>0</v>
      </c>
      <c r="P35" s="219">
        <v>0</v>
      </c>
      <c r="Q35" s="219">
        <f>SUM(Q36:Q36)</f>
        <v>951050.88</v>
      </c>
      <c r="R35" s="448">
        <v>0</v>
      </c>
      <c r="S35" s="874"/>
      <c r="T35" s="874"/>
      <c r="U35" s="874"/>
      <c r="V35" s="874"/>
      <c r="W35" s="874"/>
      <c r="X35" s="874"/>
      <c r="Y35" s="874"/>
      <c r="Z35" s="874"/>
      <c r="AA35" s="874"/>
    </row>
    <row r="36" spans="1:27" x14ac:dyDescent="0.25">
      <c r="A36" s="259"/>
      <c r="B36" s="199">
        <v>0</v>
      </c>
      <c r="C36" s="122" t="s">
        <v>591</v>
      </c>
      <c r="D36" s="646" t="str">
        <f>" - " &amp; 'Giá NC'!E5</f>
        <v xml:space="preserve"> - Nhân công bậc 3,0/7 - Nhóm 1</v>
      </c>
      <c r="E36" s="199" t="str">
        <f>'Giá NC'!F5</f>
        <v>công</v>
      </c>
      <c r="F36" s="186">
        <v>0</v>
      </c>
      <c r="G36" s="115">
        <v>4.16</v>
      </c>
      <c r="H36" s="115">
        <f>'Tiên lượng'!W15</f>
        <v>1</v>
      </c>
      <c r="I36" s="115">
        <f>PRODUCT(F34, G36, H36)</f>
        <v>3.64</v>
      </c>
      <c r="J36" s="431">
        <f>'Giá NC'!G5</f>
        <v>228618</v>
      </c>
      <c r="K36" s="431">
        <f>PRODUCT(G36, H36, J36)</f>
        <v>951050.88</v>
      </c>
      <c r="L36" s="431">
        <f>'Giá NC'!H5</f>
        <v>228618</v>
      </c>
      <c r="M36" s="431">
        <f>PRODUCT(G36, H36, L36)</f>
        <v>951050.88</v>
      </c>
      <c r="N36" s="431">
        <v>0</v>
      </c>
      <c r="O36" s="431">
        <v>0</v>
      </c>
      <c r="P36" s="431">
        <f>'Giá NC'!K5</f>
        <v>228618</v>
      </c>
      <c r="Q36" s="431">
        <f>PRODUCT(G36, H36, P36)</f>
        <v>951050.88</v>
      </c>
      <c r="R36" s="448">
        <v>0</v>
      </c>
      <c r="S36" s="874"/>
      <c r="T36" s="874"/>
      <c r="U36" s="874"/>
      <c r="V36" s="874"/>
      <c r="W36" s="874"/>
      <c r="X36" s="874"/>
      <c r="Y36" s="874"/>
      <c r="Z36" s="874"/>
      <c r="AA36" s="874"/>
    </row>
    <row r="37" spans="1:27" x14ac:dyDescent="0.25">
      <c r="A37" s="849"/>
      <c r="B37" s="875">
        <v>0</v>
      </c>
      <c r="C37" s="810" t="s">
        <v>539</v>
      </c>
      <c r="D37" s="416" t="s">
        <v>556</v>
      </c>
      <c r="E37" s="875"/>
      <c r="F37" s="856">
        <v>0</v>
      </c>
      <c r="G37" s="806">
        <v>0</v>
      </c>
      <c r="H37" s="806"/>
      <c r="I37" s="806">
        <v>0</v>
      </c>
      <c r="J37" s="219">
        <v>0</v>
      </c>
      <c r="K37" s="219">
        <f>SUM(K38:K38)</f>
        <v>5600000</v>
      </c>
      <c r="L37" s="219">
        <v>0</v>
      </c>
      <c r="M37" s="219">
        <f>SUM(M38:M38)</f>
        <v>5600000</v>
      </c>
      <c r="N37" s="219">
        <v>0</v>
      </c>
      <c r="O37" s="219">
        <v>0</v>
      </c>
      <c r="P37" s="219">
        <v>0</v>
      </c>
      <c r="Q37" s="219">
        <f>SUM(Q38:Q38)</f>
        <v>5600000</v>
      </c>
      <c r="R37" s="448">
        <v>0</v>
      </c>
      <c r="S37" s="874"/>
      <c r="T37" s="874"/>
      <c r="U37" s="874"/>
      <c r="V37" s="874"/>
      <c r="W37" s="874"/>
      <c r="X37" s="874"/>
      <c r="Y37" s="874"/>
      <c r="Z37" s="874"/>
      <c r="AA37" s="874"/>
    </row>
    <row r="38" spans="1:27" x14ac:dyDescent="0.25">
      <c r="A38" s="801"/>
      <c r="B38" s="47">
        <v>0</v>
      </c>
      <c r="C38" s="359" t="s">
        <v>921</v>
      </c>
      <c r="D38" s="485" t="str">
        <f>" - " &amp; 'Giá Máy'!E11</f>
        <v xml:space="preserve"> - Máy đào 0,4m3</v>
      </c>
      <c r="E38" s="47" t="str">
        <f>'Giá Máy'!F11</f>
        <v>ca</v>
      </c>
      <c r="F38" s="28">
        <v>0</v>
      </c>
      <c r="G38" s="866">
        <v>2</v>
      </c>
      <c r="H38" s="866">
        <f>'Tiên lượng'!X15</f>
        <v>1</v>
      </c>
      <c r="I38" s="866">
        <f>PRODUCT(F34, G38, H38)</f>
        <v>1.75</v>
      </c>
      <c r="J38" s="676">
        <f>'Giá Máy'!G11</f>
        <v>2800000</v>
      </c>
      <c r="K38" s="676">
        <f>PRODUCT(G38, H38, J38)</f>
        <v>5600000</v>
      </c>
      <c r="L38" s="676">
        <f>'Giá Máy'!H11</f>
        <v>2800000</v>
      </c>
      <c r="M38" s="767">
        <f>PRODUCT(G38, H38, L38)</f>
        <v>5600000</v>
      </c>
      <c r="N38" s="767">
        <v>0</v>
      </c>
      <c r="O38" s="767">
        <v>0</v>
      </c>
      <c r="P38" s="767">
        <f>'Giá Máy'!O11</f>
        <v>2800000</v>
      </c>
      <c r="Q38" s="767">
        <f>PRODUCT(G38, H38, P38)</f>
        <v>5600000</v>
      </c>
      <c r="R38" s="82">
        <v>0</v>
      </c>
      <c r="S38" s="874"/>
      <c r="T38" s="874"/>
      <c r="U38" s="874"/>
      <c r="V38" s="874"/>
      <c r="W38" s="874"/>
      <c r="X38" s="874"/>
      <c r="Y38" s="874"/>
      <c r="Z38" s="874"/>
      <c r="AA38" s="874"/>
    </row>
    <row r="39" spans="1:27" ht="30" x14ac:dyDescent="0.25">
      <c r="A39" s="851"/>
      <c r="B39" s="110">
        <v>7</v>
      </c>
      <c r="C39" s="45" t="s">
        <v>1172</v>
      </c>
      <c r="D39" s="554" t="str">
        <f>'Tiên lượng'!D17</f>
        <v>Vận chuyển đất bằng ô tô tự đổ 7T, phạm vi ≤300m - Cấp đất III</v>
      </c>
      <c r="E39" s="110" t="str">
        <f>'Tiên lượng'!E17</f>
        <v>ca</v>
      </c>
      <c r="F39" s="88">
        <f>'Tiên lượng'!M17</f>
        <v>1</v>
      </c>
      <c r="G39" s="26">
        <v>0</v>
      </c>
      <c r="H39" s="26">
        <v>0</v>
      </c>
      <c r="I39" s="26">
        <v>0</v>
      </c>
      <c r="J39" s="732">
        <v>0</v>
      </c>
      <c r="K39" s="732">
        <v>0</v>
      </c>
      <c r="L39" s="732">
        <v>0</v>
      </c>
      <c r="M39" s="818">
        <v>0</v>
      </c>
      <c r="N39" s="818">
        <v>0</v>
      </c>
      <c r="O39" s="818">
        <v>0</v>
      </c>
      <c r="P39" s="818">
        <v>0</v>
      </c>
      <c r="Q39" s="818">
        <v>0</v>
      </c>
      <c r="R39" s="155">
        <v>0</v>
      </c>
      <c r="S39" s="874"/>
      <c r="T39" s="874"/>
      <c r="U39" s="874"/>
      <c r="V39" s="874"/>
      <c r="W39" s="874"/>
      <c r="X39" s="874"/>
      <c r="Y39" s="874"/>
      <c r="Z39" s="874"/>
      <c r="AA39" s="874"/>
    </row>
    <row r="40" spans="1:27" x14ac:dyDescent="0.25">
      <c r="A40" s="849"/>
      <c r="B40" s="198">
        <v>0</v>
      </c>
      <c r="C40" s="121" t="s">
        <v>539</v>
      </c>
      <c r="D40" s="644" t="s">
        <v>556</v>
      </c>
      <c r="E40" s="198"/>
      <c r="F40" s="182">
        <v>0</v>
      </c>
      <c r="G40" s="114">
        <v>0</v>
      </c>
      <c r="H40" s="114"/>
      <c r="I40" s="114">
        <v>0</v>
      </c>
      <c r="J40" s="430">
        <v>0</v>
      </c>
      <c r="K40" s="430">
        <f>SUM(K41:K41)</f>
        <v>2000000</v>
      </c>
      <c r="L40" s="430">
        <v>0</v>
      </c>
      <c r="M40" s="537">
        <f>SUM(M41:M41)</f>
        <v>2000000</v>
      </c>
      <c r="N40" s="537">
        <v>0</v>
      </c>
      <c r="O40" s="537">
        <v>0</v>
      </c>
      <c r="P40" s="537">
        <v>0</v>
      </c>
      <c r="Q40" s="537">
        <f>SUM(Q41:Q41)</f>
        <v>2000000</v>
      </c>
      <c r="R40" s="448">
        <v>0</v>
      </c>
      <c r="S40" s="874"/>
      <c r="T40" s="874"/>
      <c r="U40" s="874"/>
      <c r="V40" s="874"/>
      <c r="W40" s="874"/>
      <c r="X40" s="874"/>
      <c r="Y40" s="874"/>
      <c r="Z40" s="874"/>
      <c r="AA40" s="874"/>
    </row>
    <row r="41" spans="1:27" x14ac:dyDescent="0.25">
      <c r="A41" s="801"/>
      <c r="B41" s="47">
        <v>0</v>
      </c>
      <c r="C41" s="359" t="s">
        <v>691</v>
      </c>
      <c r="D41" s="485" t="str">
        <f>" - " &amp; 'Giá Máy'!E18</f>
        <v xml:space="preserve"> - Ô tô tự đổ 7T</v>
      </c>
      <c r="E41" s="47" t="str">
        <f>'Giá Máy'!F18</f>
        <v>ca</v>
      </c>
      <c r="F41" s="28">
        <v>0</v>
      </c>
      <c r="G41" s="866">
        <v>1</v>
      </c>
      <c r="H41" s="866">
        <f>'Tiên lượng'!X17</f>
        <v>1</v>
      </c>
      <c r="I41" s="866">
        <f>PRODUCT(F39, G41, H41)</f>
        <v>1</v>
      </c>
      <c r="J41" s="676">
        <f>'Giá Máy'!G18</f>
        <v>2000000</v>
      </c>
      <c r="K41" s="676">
        <f>PRODUCT(G41, H41, J41)</f>
        <v>2000000</v>
      </c>
      <c r="L41" s="676">
        <f>'Giá Máy'!H18</f>
        <v>2000000</v>
      </c>
      <c r="M41" s="767">
        <f>PRODUCT(G41, H41, L41)</f>
        <v>2000000</v>
      </c>
      <c r="N41" s="767">
        <v>0</v>
      </c>
      <c r="O41" s="767">
        <v>0</v>
      </c>
      <c r="P41" s="767">
        <f>'Giá Máy'!O18</f>
        <v>2000000</v>
      </c>
      <c r="Q41" s="767">
        <f>PRODUCT(G41, H41, P41)</f>
        <v>2000000</v>
      </c>
      <c r="R41" s="82">
        <v>0</v>
      </c>
      <c r="S41" s="874"/>
      <c r="T41" s="874"/>
      <c r="U41" s="874"/>
      <c r="V41" s="874"/>
      <c r="W41" s="874"/>
      <c r="X41" s="874"/>
      <c r="Y41" s="874"/>
      <c r="Z41" s="874"/>
      <c r="AA41" s="874"/>
    </row>
    <row r="42" spans="1:27" ht="30" x14ac:dyDescent="0.25">
      <c r="A42" s="851"/>
      <c r="B42" s="110">
        <v>8</v>
      </c>
      <c r="C42" s="45" t="s">
        <v>1201</v>
      </c>
      <c r="D42" s="554" t="str">
        <f>'Tiên lượng'!D18</f>
        <v>Bù vênh mặt đường bằng Đá dăm cấp phối loại II (Subbase)</v>
      </c>
      <c r="E42" s="110" t="str">
        <f>'Tiên lượng'!E18</f>
        <v>100m3</v>
      </c>
      <c r="F42" s="88">
        <f>'Tiên lượng'!M18</f>
        <v>0.5</v>
      </c>
      <c r="G42" s="26">
        <v>0</v>
      </c>
      <c r="H42" s="26">
        <v>0</v>
      </c>
      <c r="I42" s="26">
        <v>0</v>
      </c>
      <c r="J42" s="732">
        <v>0</v>
      </c>
      <c r="K42" s="732">
        <v>0</v>
      </c>
      <c r="L42" s="732">
        <v>0</v>
      </c>
      <c r="M42" s="818">
        <v>0</v>
      </c>
      <c r="N42" s="818">
        <v>0</v>
      </c>
      <c r="O42" s="818">
        <v>0</v>
      </c>
      <c r="P42" s="818">
        <v>0</v>
      </c>
      <c r="Q42" s="818">
        <v>0</v>
      </c>
      <c r="R42" s="155">
        <v>0</v>
      </c>
      <c r="S42" s="874"/>
      <c r="T42" s="874"/>
      <c r="U42" s="874"/>
      <c r="V42" s="874"/>
      <c r="W42" s="874"/>
      <c r="X42" s="874"/>
      <c r="Y42" s="874"/>
      <c r="Z42" s="874"/>
      <c r="AA42" s="874"/>
    </row>
    <row r="43" spans="1:27" x14ac:dyDescent="0.25">
      <c r="A43" s="849"/>
      <c r="B43" s="198">
        <v>0</v>
      </c>
      <c r="C43" s="121" t="s">
        <v>479</v>
      </c>
      <c r="D43" s="644" t="s">
        <v>1372</v>
      </c>
      <c r="E43" s="198"/>
      <c r="F43" s="182">
        <v>0</v>
      </c>
      <c r="G43" s="114">
        <v>0</v>
      </c>
      <c r="H43" s="114"/>
      <c r="I43" s="114">
        <v>0</v>
      </c>
      <c r="J43" s="430">
        <v>0</v>
      </c>
      <c r="K43" s="430">
        <f>SUM(K44:K44)</f>
        <v>29480000</v>
      </c>
      <c r="L43" s="430">
        <v>0</v>
      </c>
      <c r="M43" s="537">
        <f>SUM(M44:M44)</f>
        <v>33500000</v>
      </c>
      <c r="N43" s="537">
        <v>0</v>
      </c>
      <c r="O43" s="537">
        <v>0</v>
      </c>
      <c r="P43" s="537">
        <v>0</v>
      </c>
      <c r="Q43" s="537">
        <f>SUM(Q44:Q44)</f>
        <v>53127806.215591997</v>
      </c>
      <c r="R43" s="448">
        <v>0</v>
      </c>
      <c r="S43" s="874"/>
      <c r="T43" s="874"/>
      <c r="U43" s="874"/>
      <c r="V43" s="874"/>
      <c r="W43" s="874"/>
      <c r="X43" s="874"/>
      <c r="Y43" s="874"/>
      <c r="Z43" s="874"/>
      <c r="AA43" s="874"/>
    </row>
    <row r="44" spans="1:27" x14ac:dyDescent="0.25">
      <c r="A44" s="259"/>
      <c r="B44" s="405">
        <v>0</v>
      </c>
      <c r="C44" s="339" t="s">
        <v>1290</v>
      </c>
      <c r="D44" s="828" t="str">
        <f>" - " &amp; 'Giá VL'!E6</f>
        <v xml:space="preserve"> - Đá Base B</v>
      </c>
      <c r="E44" s="405" t="str">
        <f>'Giá VL'!F6</f>
        <v>m3</v>
      </c>
      <c r="F44" s="393">
        <v>0</v>
      </c>
      <c r="G44" s="336">
        <v>134</v>
      </c>
      <c r="H44" s="336">
        <f>'Tiên lượng'!V18</f>
        <v>1</v>
      </c>
      <c r="I44" s="336">
        <f>PRODUCT(F42, G44, H44)</f>
        <v>67</v>
      </c>
      <c r="J44" s="659">
        <f>'Giá VL'!G6</f>
        <v>220000</v>
      </c>
      <c r="K44" s="659">
        <f>PRODUCT(G44, H44, J44)</f>
        <v>29480000</v>
      </c>
      <c r="L44" s="659">
        <f>'Giá VL'!J6</f>
        <v>250000</v>
      </c>
      <c r="M44" s="745">
        <f>PRODUCT(G44, H44, L44)</f>
        <v>33500000</v>
      </c>
      <c r="N44" s="745">
        <v>0</v>
      </c>
      <c r="O44" s="745">
        <v>0</v>
      </c>
      <c r="P44" s="745">
        <f>'Giá VL'!V6</f>
        <v>396476.16578799998</v>
      </c>
      <c r="Q44" s="745">
        <f>PRODUCT(G44, H44, P44)</f>
        <v>53127806.215591997</v>
      </c>
      <c r="R44" s="448">
        <v>0</v>
      </c>
      <c r="S44" s="874"/>
      <c r="T44" s="874"/>
      <c r="U44" s="874"/>
      <c r="V44" s="874"/>
      <c r="W44" s="874"/>
      <c r="X44" s="874"/>
      <c r="Y44" s="874"/>
      <c r="Z44" s="874"/>
      <c r="AA44" s="874"/>
    </row>
    <row r="45" spans="1:27" x14ac:dyDescent="0.25">
      <c r="A45" s="849"/>
      <c r="B45" s="198">
        <v>0</v>
      </c>
      <c r="C45" s="121" t="s">
        <v>125</v>
      </c>
      <c r="D45" s="644" t="s">
        <v>890</v>
      </c>
      <c r="E45" s="198"/>
      <c r="F45" s="182">
        <v>0</v>
      </c>
      <c r="G45" s="114">
        <v>0</v>
      </c>
      <c r="H45" s="114"/>
      <c r="I45" s="114">
        <v>0</v>
      </c>
      <c r="J45" s="430">
        <v>0</v>
      </c>
      <c r="K45" s="430">
        <f>SUM(K46:K46)</f>
        <v>1481448</v>
      </c>
      <c r="L45" s="430">
        <v>0</v>
      </c>
      <c r="M45" s="537">
        <f>SUM(M46:M46)</f>
        <v>1481448</v>
      </c>
      <c r="N45" s="537">
        <v>0</v>
      </c>
      <c r="O45" s="537">
        <v>0</v>
      </c>
      <c r="P45" s="537">
        <v>0</v>
      </c>
      <c r="Q45" s="537">
        <f>SUM(Q46:Q46)</f>
        <v>1481448</v>
      </c>
      <c r="R45" s="448">
        <v>0</v>
      </c>
      <c r="S45" s="874"/>
      <c r="T45" s="874"/>
      <c r="U45" s="874"/>
      <c r="V45" s="874"/>
      <c r="W45" s="874"/>
      <c r="X45" s="874"/>
      <c r="Y45" s="874"/>
      <c r="Z45" s="874"/>
      <c r="AA45" s="874"/>
    </row>
    <row r="46" spans="1:27" x14ac:dyDescent="0.25">
      <c r="A46" s="259"/>
      <c r="B46" s="405">
        <v>0</v>
      </c>
      <c r="C46" s="339" t="s">
        <v>1103</v>
      </c>
      <c r="D46" s="828" t="str">
        <f>" - " &amp; 'Giá NC'!E6</f>
        <v xml:space="preserve"> - Nhân công bậc 3,0/7 - Nhóm 2</v>
      </c>
      <c r="E46" s="405" t="str">
        <f>'Giá NC'!F6</f>
        <v>công</v>
      </c>
      <c r="F46" s="393">
        <v>0</v>
      </c>
      <c r="G46" s="336">
        <v>6</v>
      </c>
      <c r="H46" s="336">
        <f>'Tiên lượng'!W18</f>
        <v>1</v>
      </c>
      <c r="I46" s="336">
        <f>PRODUCT(F42, G46, H46)</f>
        <v>3</v>
      </c>
      <c r="J46" s="659">
        <f>'Giá NC'!G6</f>
        <v>246908</v>
      </c>
      <c r="K46" s="659">
        <f>PRODUCT(G46, H46, J46)</f>
        <v>1481448</v>
      </c>
      <c r="L46" s="659">
        <f>'Giá NC'!H6</f>
        <v>246908</v>
      </c>
      <c r="M46" s="745">
        <f>PRODUCT(G46, H46, L46)</f>
        <v>1481448</v>
      </c>
      <c r="N46" s="745">
        <v>0</v>
      </c>
      <c r="O46" s="745">
        <v>0</v>
      </c>
      <c r="P46" s="745">
        <f>'Giá NC'!K6</f>
        <v>246908</v>
      </c>
      <c r="Q46" s="745">
        <f>PRODUCT(G46, H46, P46)</f>
        <v>1481448</v>
      </c>
      <c r="R46" s="448">
        <v>0</v>
      </c>
      <c r="S46" s="874"/>
      <c r="T46" s="874"/>
      <c r="U46" s="874"/>
      <c r="V46" s="874"/>
      <c r="W46" s="874"/>
      <c r="X46" s="874"/>
      <c r="Y46" s="874"/>
      <c r="Z46" s="874"/>
      <c r="AA46" s="874"/>
    </row>
    <row r="47" spans="1:27" x14ac:dyDescent="0.25">
      <c r="A47" s="849"/>
      <c r="B47" s="198">
        <v>0</v>
      </c>
      <c r="C47" s="121" t="s">
        <v>539</v>
      </c>
      <c r="D47" s="644" t="s">
        <v>556</v>
      </c>
      <c r="E47" s="198"/>
      <c r="F47" s="182">
        <v>0</v>
      </c>
      <c r="G47" s="114">
        <v>0</v>
      </c>
      <c r="H47" s="114"/>
      <c r="I47" s="114">
        <v>0</v>
      </c>
      <c r="J47" s="430">
        <v>0</v>
      </c>
      <c r="K47" s="430">
        <f>SUM(K48:K50)</f>
        <v>544003.88699999999</v>
      </c>
      <c r="L47" s="430">
        <v>0</v>
      </c>
      <c r="M47" s="537">
        <f>SUM(M48:M50)</f>
        <v>544003.88699999999</v>
      </c>
      <c r="N47" s="537">
        <v>0</v>
      </c>
      <c r="O47" s="537">
        <v>0</v>
      </c>
      <c r="P47" s="537">
        <v>0</v>
      </c>
      <c r="Q47" s="537">
        <f>SUM(Q48:Q50)</f>
        <v>544003.88699999999</v>
      </c>
      <c r="R47" s="448">
        <v>0</v>
      </c>
      <c r="S47" s="874"/>
      <c r="T47" s="874"/>
      <c r="U47" s="874"/>
      <c r="V47" s="874"/>
      <c r="W47" s="874"/>
      <c r="X47" s="874"/>
      <c r="Y47" s="874"/>
      <c r="Z47" s="874"/>
      <c r="AA47" s="874"/>
    </row>
    <row r="48" spans="1:27" x14ac:dyDescent="0.25">
      <c r="A48" s="259"/>
      <c r="B48" s="405">
        <v>0</v>
      </c>
      <c r="C48" s="339" t="s">
        <v>402</v>
      </c>
      <c r="D48" s="828" t="str">
        <f>" - " &amp; 'Giá Máy'!E14</f>
        <v xml:space="preserve"> - Máy lu bánh thép 10T</v>
      </c>
      <c r="E48" s="405" t="str">
        <f>'Giá Máy'!F14</f>
        <v>ca</v>
      </c>
      <c r="F48" s="393">
        <v>0</v>
      </c>
      <c r="G48" s="336">
        <v>0.26</v>
      </c>
      <c r="H48" s="336">
        <f>'Tiên lượng'!X18</f>
        <v>1</v>
      </c>
      <c r="I48" s="336">
        <f>PRODUCT(F42, G48, H48)</f>
        <v>0.13</v>
      </c>
      <c r="J48" s="659">
        <f>'Giá Máy'!G14</f>
        <v>1151395</v>
      </c>
      <c r="K48" s="659">
        <f t="shared" ref="K48:K50" si="3">PRODUCT(G48, H48, J48)</f>
        <v>299362.7</v>
      </c>
      <c r="L48" s="659">
        <f>'Giá Máy'!H14</f>
        <v>1151395</v>
      </c>
      <c r="M48" s="745">
        <f t="shared" ref="M48:M50" si="4">PRODUCT(G48, H48, L48)</f>
        <v>299362.7</v>
      </c>
      <c r="N48" s="745">
        <v>0</v>
      </c>
      <c r="O48" s="745">
        <v>0</v>
      </c>
      <c r="P48" s="745">
        <f>'Giá Máy'!O14</f>
        <v>1151395</v>
      </c>
      <c r="Q48" s="745">
        <f t="shared" ref="Q48:Q50" si="5">PRODUCT(G48, H48, P48)</f>
        <v>299362.7</v>
      </c>
      <c r="R48" s="448">
        <v>0.5</v>
      </c>
      <c r="S48" s="874"/>
      <c r="T48" s="874"/>
      <c r="U48" s="874"/>
      <c r="V48" s="874"/>
      <c r="W48" s="874"/>
      <c r="X48" s="874"/>
      <c r="Y48" s="874"/>
      <c r="Z48" s="874"/>
      <c r="AA48" s="874"/>
    </row>
    <row r="49" spans="1:27" x14ac:dyDescent="0.25">
      <c r="A49" s="259"/>
      <c r="B49" s="405">
        <v>0</v>
      </c>
      <c r="C49" s="339" t="s">
        <v>1073</v>
      </c>
      <c r="D49" s="828" t="str">
        <f>" - " &amp; 'Giá Máy'!E19</f>
        <v xml:space="preserve"> - Ô tô tưới nước 5m3</v>
      </c>
      <c r="E49" s="405" t="str">
        <f>'Giá Máy'!F19</f>
        <v>ca</v>
      </c>
      <c r="F49" s="393">
        <v>0</v>
      </c>
      <c r="G49" s="336">
        <v>0.21</v>
      </c>
      <c r="H49" s="336">
        <f>'Tiên lượng'!X18</f>
        <v>1</v>
      </c>
      <c r="I49" s="336">
        <f>PRODUCT(F42, G49, H49)</f>
        <v>0.105</v>
      </c>
      <c r="J49" s="659">
        <f>'Giá Máy'!G19</f>
        <v>1152070</v>
      </c>
      <c r="K49" s="659">
        <f t="shared" si="3"/>
        <v>241934.69999999998</v>
      </c>
      <c r="L49" s="659">
        <f>'Giá Máy'!H19</f>
        <v>1152070</v>
      </c>
      <c r="M49" s="745">
        <f t="shared" si="4"/>
        <v>241934.69999999998</v>
      </c>
      <c r="N49" s="745">
        <v>0</v>
      </c>
      <c r="O49" s="745">
        <v>0</v>
      </c>
      <c r="P49" s="745">
        <f>'Giá Máy'!O19</f>
        <v>1152070</v>
      </c>
      <c r="Q49" s="745">
        <f t="shared" si="5"/>
        <v>241934.69999999998</v>
      </c>
      <c r="R49" s="448">
        <v>0.5</v>
      </c>
      <c r="S49" s="874"/>
      <c r="T49" s="874"/>
      <c r="U49" s="874"/>
      <c r="V49" s="874"/>
      <c r="W49" s="874"/>
      <c r="X49" s="874"/>
      <c r="Y49" s="874"/>
      <c r="Z49" s="874"/>
      <c r="AA49" s="874"/>
    </row>
    <row r="50" spans="1:27" x14ac:dyDescent="0.25">
      <c r="A50" s="801"/>
      <c r="B50" s="47">
        <v>0</v>
      </c>
      <c r="C50" s="359" t="s">
        <v>760</v>
      </c>
      <c r="D50" s="485" t="s">
        <v>830</v>
      </c>
      <c r="E50" s="47" t="s">
        <v>1086</v>
      </c>
      <c r="F50" s="28">
        <v>0</v>
      </c>
      <c r="G50" s="866">
        <f>AVERAGE(R48:R49)</f>
        <v>0.5</v>
      </c>
      <c r="H50" s="866">
        <f>'Tiên lượng'!X18</f>
        <v>1</v>
      </c>
      <c r="I50" s="866">
        <f>PRODUCT(F42, G50, H50)</f>
        <v>0.25</v>
      </c>
      <c r="J50" s="676">
        <f>(G48*J48+G49*J49)/100</f>
        <v>5412.9740000000002</v>
      </c>
      <c r="K50" s="676">
        <f t="shared" si="3"/>
        <v>2706.4870000000001</v>
      </c>
      <c r="L50" s="676">
        <f>(G48*L48+G49*L49)/100</f>
        <v>5412.9740000000002</v>
      </c>
      <c r="M50" s="767">
        <f t="shared" si="4"/>
        <v>2706.4870000000001</v>
      </c>
      <c r="N50" s="767">
        <v>0</v>
      </c>
      <c r="O50" s="767">
        <v>0</v>
      </c>
      <c r="P50" s="767">
        <f>(G48*P48+G49*P49)/100</f>
        <v>5412.9740000000002</v>
      </c>
      <c r="Q50" s="767">
        <f t="shared" si="5"/>
        <v>2706.4870000000001</v>
      </c>
      <c r="R50" s="82">
        <v>0</v>
      </c>
      <c r="S50" s="874"/>
      <c r="T50" s="874"/>
      <c r="U50" s="874"/>
      <c r="V50" s="874"/>
      <c r="W50" s="874"/>
      <c r="X50" s="874"/>
      <c r="Y50" s="874"/>
      <c r="Z50" s="874"/>
      <c r="AA50" s="874"/>
    </row>
    <row r="51" spans="1:27" ht="30" x14ac:dyDescent="0.25">
      <c r="A51" s="851"/>
      <c r="B51" s="110">
        <v>9</v>
      </c>
      <c r="C51" s="45" t="s">
        <v>1300</v>
      </c>
      <c r="D51" s="554" t="str">
        <f>'Tiên lượng'!D20</f>
        <v>Thi công lớp đệm móng bằng đá mạt. chiều dài 150m</v>
      </c>
      <c r="E51" s="110" t="str">
        <f>'Tiên lượng'!E20</f>
        <v>100m3</v>
      </c>
      <c r="F51" s="88">
        <f>'Tiên lượng'!M20</f>
        <v>0.16649999999999998</v>
      </c>
      <c r="G51" s="26">
        <v>0</v>
      </c>
      <c r="H51" s="26">
        <v>0</v>
      </c>
      <c r="I51" s="26">
        <v>0</v>
      </c>
      <c r="J51" s="732">
        <v>0</v>
      </c>
      <c r="K51" s="732">
        <v>0</v>
      </c>
      <c r="L51" s="732">
        <v>0</v>
      </c>
      <c r="M51" s="818">
        <v>0</v>
      </c>
      <c r="N51" s="818">
        <v>0</v>
      </c>
      <c r="O51" s="818">
        <v>0</v>
      </c>
      <c r="P51" s="818">
        <v>0</v>
      </c>
      <c r="Q51" s="818">
        <v>0</v>
      </c>
      <c r="R51" s="155">
        <v>0</v>
      </c>
      <c r="S51" s="874"/>
      <c r="T51" s="874"/>
      <c r="U51" s="874"/>
      <c r="V51" s="874"/>
      <c r="W51" s="874"/>
      <c r="X51" s="874"/>
      <c r="Y51" s="874"/>
      <c r="Z51" s="874"/>
      <c r="AA51" s="874"/>
    </row>
    <row r="52" spans="1:27" x14ac:dyDescent="0.25">
      <c r="A52" s="849"/>
      <c r="B52" s="198">
        <v>0</v>
      </c>
      <c r="C52" s="121" t="s">
        <v>479</v>
      </c>
      <c r="D52" s="644" t="s">
        <v>1372</v>
      </c>
      <c r="E52" s="198"/>
      <c r="F52" s="182">
        <v>0</v>
      </c>
      <c r="G52" s="114">
        <v>0</v>
      </c>
      <c r="H52" s="114"/>
      <c r="I52" s="114">
        <v>0</v>
      </c>
      <c r="J52" s="430">
        <v>0</v>
      </c>
      <c r="K52" s="430">
        <f>SUM(K53:K53)</f>
        <v>33500000</v>
      </c>
      <c r="L52" s="430">
        <v>0</v>
      </c>
      <c r="M52" s="537">
        <f>SUM(M53:M53)</f>
        <v>33500000</v>
      </c>
      <c r="N52" s="537">
        <v>0</v>
      </c>
      <c r="O52" s="537">
        <v>0</v>
      </c>
      <c r="P52" s="537">
        <v>0</v>
      </c>
      <c r="Q52" s="537">
        <f>SUM(Q53:Q53)</f>
        <v>53127806.215591997</v>
      </c>
      <c r="R52" s="448">
        <v>0</v>
      </c>
      <c r="S52" s="874"/>
      <c r="T52" s="874"/>
      <c r="U52" s="874"/>
      <c r="V52" s="874"/>
      <c r="W52" s="874"/>
      <c r="X52" s="874"/>
      <c r="Y52" s="874"/>
      <c r="Z52" s="874"/>
      <c r="AA52" s="874"/>
    </row>
    <row r="53" spans="1:27" x14ac:dyDescent="0.25">
      <c r="A53" s="259"/>
      <c r="B53" s="405">
        <v>0</v>
      </c>
      <c r="C53" s="339" t="s">
        <v>1290</v>
      </c>
      <c r="D53" s="828" t="str">
        <f>" - " &amp; 'Giá VL'!E7</f>
        <v xml:space="preserve"> - Đá mạt</v>
      </c>
      <c r="E53" s="405" t="str">
        <f>'Giá VL'!F7</f>
        <v>m3</v>
      </c>
      <c r="F53" s="393">
        <v>0</v>
      </c>
      <c r="G53" s="336">
        <v>134</v>
      </c>
      <c r="H53" s="336">
        <f>'Tiên lượng'!V20</f>
        <v>1</v>
      </c>
      <c r="I53" s="336">
        <f>PRODUCT(F51, G53, H53)</f>
        <v>22.310999999999996</v>
      </c>
      <c r="J53" s="659">
        <f>'Giá VL'!G7</f>
        <v>250000</v>
      </c>
      <c r="K53" s="659">
        <f>PRODUCT(G53, H53, J53)</f>
        <v>33500000</v>
      </c>
      <c r="L53" s="659">
        <f>'Giá VL'!J7</f>
        <v>250000</v>
      </c>
      <c r="M53" s="745">
        <f>PRODUCT(G53, H53, L53)</f>
        <v>33500000</v>
      </c>
      <c r="N53" s="745">
        <v>0</v>
      </c>
      <c r="O53" s="745">
        <v>0</v>
      </c>
      <c r="P53" s="745">
        <f>'Giá VL'!V7</f>
        <v>396476.16578799998</v>
      </c>
      <c r="Q53" s="745">
        <f>PRODUCT(G53, H53, P53)</f>
        <v>53127806.215591997</v>
      </c>
      <c r="R53" s="448">
        <v>0</v>
      </c>
      <c r="S53" s="874"/>
      <c r="T53" s="874"/>
      <c r="U53" s="874"/>
      <c r="V53" s="874"/>
      <c r="W53" s="874"/>
      <c r="X53" s="874"/>
      <c r="Y53" s="874"/>
      <c r="Z53" s="874"/>
      <c r="AA53" s="874"/>
    </row>
    <row r="54" spans="1:27" x14ac:dyDescent="0.25">
      <c r="A54" s="849"/>
      <c r="B54" s="198">
        <v>0</v>
      </c>
      <c r="C54" s="121" t="s">
        <v>125</v>
      </c>
      <c r="D54" s="644" t="s">
        <v>890</v>
      </c>
      <c r="E54" s="198"/>
      <c r="F54" s="182">
        <v>0</v>
      </c>
      <c r="G54" s="114">
        <v>0</v>
      </c>
      <c r="H54" s="114"/>
      <c r="I54" s="114">
        <v>0</v>
      </c>
      <c r="J54" s="430">
        <v>0</v>
      </c>
      <c r="K54" s="430">
        <f>SUM(K55:K55)</f>
        <v>1234540</v>
      </c>
      <c r="L54" s="430">
        <v>0</v>
      </c>
      <c r="M54" s="537">
        <f>SUM(M55:M55)</f>
        <v>1234540</v>
      </c>
      <c r="N54" s="537">
        <v>0</v>
      </c>
      <c r="O54" s="537">
        <v>0</v>
      </c>
      <c r="P54" s="537">
        <v>0</v>
      </c>
      <c r="Q54" s="537">
        <f>SUM(Q55:Q55)</f>
        <v>1234540</v>
      </c>
      <c r="R54" s="448">
        <v>0</v>
      </c>
      <c r="S54" s="874"/>
      <c r="T54" s="874"/>
      <c r="U54" s="874"/>
      <c r="V54" s="874"/>
      <c r="W54" s="874"/>
      <c r="X54" s="874"/>
      <c r="Y54" s="874"/>
      <c r="Z54" s="874"/>
      <c r="AA54" s="874"/>
    </row>
    <row r="55" spans="1:27" x14ac:dyDescent="0.25">
      <c r="A55" s="801"/>
      <c r="B55" s="47">
        <v>0</v>
      </c>
      <c r="C55" s="359" t="s">
        <v>1103</v>
      </c>
      <c r="D55" s="485" t="str">
        <f>" - " &amp; 'Giá NC'!E6</f>
        <v xml:space="preserve"> - Nhân công bậc 3,0/7 - Nhóm 2</v>
      </c>
      <c r="E55" s="47" t="str">
        <f>'Giá NC'!F6</f>
        <v>công</v>
      </c>
      <c r="F55" s="28">
        <v>0</v>
      </c>
      <c r="G55" s="866">
        <v>5</v>
      </c>
      <c r="H55" s="866">
        <f>'Tiên lượng'!W20</f>
        <v>1</v>
      </c>
      <c r="I55" s="866">
        <f>PRODUCT(F51, G55, H55)</f>
        <v>0.83249999999999991</v>
      </c>
      <c r="J55" s="676">
        <f>'Giá NC'!G6</f>
        <v>246908</v>
      </c>
      <c r="K55" s="676">
        <f>PRODUCT(G55, H55, J55)</f>
        <v>1234540</v>
      </c>
      <c r="L55" s="676">
        <f>'Giá NC'!H6</f>
        <v>246908</v>
      </c>
      <c r="M55" s="767">
        <f>PRODUCT(G55, H55, L55)</f>
        <v>1234540</v>
      </c>
      <c r="N55" s="767">
        <v>0</v>
      </c>
      <c r="O55" s="767">
        <v>0</v>
      </c>
      <c r="P55" s="767">
        <f>'Giá NC'!K6</f>
        <v>246908</v>
      </c>
      <c r="Q55" s="767">
        <f>PRODUCT(G55, H55, P55)</f>
        <v>1234540</v>
      </c>
      <c r="R55" s="82">
        <v>0</v>
      </c>
      <c r="S55" s="874"/>
      <c r="T55" s="874"/>
      <c r="U55" s="874"/>
      <c r="V55" s="874"/>
      <c r="W55" s="874"/>
      <c r="X55" s="874"/>
      <c r="Y55" s="874"/>
      <c r="Z55" s="874"/>
      <c r="AA55" s="874"/>
    </row>
    <row r="56" spans="1:27" x14ac:dyDescent="0.25">
      <c r="A56" s="851"/>
      <c r="B56" s="110">
        <v>10</v>
      </c>
      <c r="C56" s="45" t="s">
        <v>505</v>
      </c>
      <c r="D56" s="554" t="str">
        <f>'Tiên lượng'!D22</f>
        <v xml:space="preserve">San gạt tạo phẳng nền đường bằng máy San </v>
      </c>
      <c r="E56" s="110" t="str">
        <f>'Tiên lượng'!E22</f>
        <v>ca</v>
      </c>
      <c r="F56" s="88">
        <f>'Tiên lượng'!M22</f>
        <v>1</v>
      </c>
      <c r="G56" s="26">
        <v>0</v>
      </c>
      <c r="H56" s="26">
        <v>0</v>
      </c>
      <c r="I56" s="26">
        <v>0</v>
      </c>
      <c r="J56" s="732">
        <v>0</v>
      </c>
      <c r="K56" s="732">
        <v>0</v>
      </c>
      <c r="L56" s="732">
        <v>0</v>
      </c>
      <c r="M56" s="818">
        <v>0</v>
      </c>
      <c r="N56" s="818">
        <v>0</v>
      </c>
      <c r="O56" s="818">
        <v>0</v>
      </c>
      <c r="P56" s="818">
        <v>0</v>
      </c>
      <c r="Q56" s="818">
        <v>0</v>
      </c>
      <c r="R56" s="155">
        <v>0</v>
      </c>
      <c r="S56" s="874"/>
      <c r="T56" s="874"/>
      <c r="U56" s="874"/>
      <c r="V56" s="874"/>
      <c r="W56" s="874"/>
      <c r="X56" s="874"/>
      <c r="Y56" s="874"/>
      <c r="Z56" s="874"/>
      <c r="AA56" s="874"/>
    </row>
    <row r="57" spans="1:27" x14ac:dyDescent="0.25">
      <c r="A57" s="849"/>
      <c r="B57" s="198">
        <v>0</v>
      </c>
      <c r="C57" s="121" t="s">
        <v>479</v>
      </c>
      <c r="D57" s="644" t="s">
        <v>1372</v>
      </c>
      <c r="E57" s="198"/>
      <c r="F57" s="182">
        <v>0</v>
      </c>
      <c r="G57" s="114">
        <v>0</v>
      </c>
      <c r="H57" s="114">
        <v>1</v>
      </c>
      <c r="I57" s="114">
        <v>0</v>
      </c>
      <c r="J57" s="430">
        <v>0</v>
      </c>
      <c r="K57" s="430">
        <f>SUM(K58:K58)</f>
        <v>0</v>
      </c>
      <c r="L57" s="430">
        <v>0</v>
      </c>
      <c r="M57" s="537">
        <f>SUM(M58:M58)</f>
        <v>0</v>
      </c>
      <c r="N57" s="537">
        <v>0</v>
      </c>
      <c r="O57" s="537">
        <v>0</v>
      </c>
      <c r="P57" s="537">
        <v>0</v>
      </c>
      <c r="Q57" s="537">
        <f>SUM(Q58:Q58)</f>
        <v>0</v>
      </c>
      <c r="R57" s="448">
        <v>0</v>
      </c>
      <c r="S57" s="874"/>
      <c r="T57" s="874"/>
      <c r="U57" s="874"/>
      <c r="V57" s="874"/>
      <c r="W57" s="874"/>
      <c r="X57" s="874"/>
      <c r="Y57" s="874"/>
      <c r="Z57" s="874"/>
      <c r="AA57" s="874"/>
    </row>
    <row r="58" spans="1:27" x14ac:dyDescent="0.25">
      <c r="A58" s="259"/>
      <c r="B58" s="405">
        <v>0</v>
      </c>
      <c r="C58" s="596" t="s">
        <v>306</v>
      </c>
      <c r="D58" s="828" t="s">
        <v>864</v>
      </c>
      <c r="E58" s="405"/>
      <c r="F58" s="393">
        <v>0</v>
      </c>
      <c r="G58" s="336">
        <v>1</v>
      </c>
      <c r="H58" s="336">
        <f>'Tiên lượng'!V22</f>
        <v>1</v>
      </c>
      <c r="I58" s="336">
        <f>PRODUCT(F56, G58, H58)</f>
        <v>1</v>
      </c>
      <c r="J58" s="659">
        <v>0</v>
      </c>
      <c r="K58" s="659">
        <f>PRODUCT(G58, H58, J58)</f>
        <v>0</v>
      </c>
      <c r="L58" s="659">
        <v>0</v>
      </c>
      <c r="M58" s="745">
        <f>PRODUCT(G58, H58, L58)</f>
        <v>0</v>
      </c>
      <c r="N58" s="745">
        <v>0</v>
      </c>
      <c r="O58" s="745">
        <v>0</v>
      </c>
      <c r="P58" s="745">
        <v>0</v>
      </c>
      <c r="Q58" s="745">
        <f>PRODUCT(G58, H58, P58)</f>
        <v>0</v>
      </c>
      <c r="R58" s="448">
        <v>0</v>
      </c>
      <c r="S58" s="874"/>
      <c r="T58" s="874"/>
      <c r="U58" s="874"/>
      <c r="V58" s="874"/>
      <c r="W58" s="874"/>
      <c r="X58" s="874"/>
      <c r="Y58" s="874"/>
      <c r="Z58" s="874"/>
      <c r="AA58" s="874"/>
    </row>
    <row r="59" spans="1:27" x14ac:dyDescent="0.25">
      <c r="A59" s="849"/>
      <c r="B59" s="198">
        <v>0</v>
      </c>
      <c r="C59" s="121" t="s">
        <v>125</v>
      </c>
      <c r="D59" s="644" t="s">
        <v>890</v>
      </c>
      <c r="E59" s="198"/>
      <c r="F59" s="182">
        <v>0</v>
      </c>
      <c r="G59" s="114">
        <v>0</v>
      </c>
      <c r="H59" s="114">
        <v>1</v>
      </c>
      <c r="I59" s="114">
        <v>0</v>
      </c>
      <c r="J59" s="430">
        <v>0</v>
      </c>
      <c r="K59" s="430">
        <f>SUM(K60:K60)</f>
        <v>0</v>
      </c>
      <c r="L59" s="430">
        <v>0</v>
      </c>
      <c r="M59" s="537">
        <f>SUM(M60:M60)</f>
        <v>0</v>
      </c>
      <c r="N59" s="537">
        <v>0</v>
      </c>
      <c r="O59" s="537">
        <v>0</v>
      </c>
      <c r="P59" s="537">
        <v>0</v>
      </c>
      <c r="Q59" s="537">
        <f>SUM(Q60:Q60)</f>
        <v>0</v>
      </c>
      <c r="R59" s="448">
        <v>0</v>
      </c>
      <c r="S59" s="874"/>
      <c r="T59" s="874"/>
      <c r="U59" s="874"/>
      <c r="V59" s="874"/>
      <c r="W59" s="874"/>
      <c r="X59" s="874"/>
      <c r="Y59" s="874"/>
      <c r="Z59" s="874"/>
      <c r="AA59" s="874"/>
    </row>
    <row r="60" spans="1:27" x14ac:dyDescent="0.25">
      <c r="A60" s="259"/>
      <c r="B60" s="405">
        <v>0</v>
      </c>
      <c r="C60" s="596" t="s">
        <v>306</v>
      </c>
      <c r="D60" s="828" t="s">
        <v>492</v>
      </c>
      <c r="E60" s="405"/>
      <c r="F60" s="393">
        <v>0</v>
      </c>
      <c r="G60" s="336">
        <v>1</v>
      </c>
      <c r="H60" s="336">
        <f>'Tiên lượng'!W22</f>
        <v>1</v>
      </c>
      <c r="I60" s="336">
        <f>PRODUCT(F56, G60, H60)</f>
        <v>1</v>
      </c>
      <c r="J60" s="659">
        <v>0</v>
      </c>
      <c r="K60" s="659">
        <f>PRODUCT(G60, H60, J60)</f>
        <v>0</v>
      </c>
      <c r="L60" s="659">
        <v>0</v>
      </c>
      <c r="M60" s="745">
        <f>PRODUCT(G60, H60, L60)</f>
        <v>0</v>
      </c>
      <c r="N60" s="745">
        <v>0</v>
      </c>
      <c r="O60" s="745">
        <v>0</v>
      </c>
      <c r="P60" s="745">
        <v>0</v>
      </c>
      <c r="Q60" s="745">
        <f>PRODUCT(G60, H60, P60)</f>
        <v>0</v>
      </c>
      <c r="R60" s="448">
        <v>0</v>
      </c>
      <c r="S60" s="874"/>
      <c r="T60" s="874"/>
      <c r="U60" s="874"/>
      <c r="V60" s="874"/>
      <c r="W60" s="874"/>
      <c r="X60" s="874"/>
      <c r="Y60" s="874"/>
      <c r="Z60" s="874"/>
      <c r="AA60" s="874"/>
    </row>
    <row r="61" spans="1:27" x14ac:dyDescent="0.25">
      <c r="A61" s="849"/>
      <c r="B61" s="198">
        <v>0</v>
      </c>
      <c r="C61" s="121" t="s">
        <v>539</v>
      </c>
      <c r="D61" s="644" t="s">
        <v>556</v>
      </c>
      <c r="E61" s="198"/>
      <c r="F61" s="182">
        <v>0</v>
      </c>
      <c r="G61" s="114">
        <v>0</v>
      </c>
      <c r="H61" s="114">
        <v>1</v>
      </c>
      <c r="I61" s="114">
        <v>0</v>
      </c>
      <c r="J61" s="430">
        <v>0</v>
      </c>
      <c r="K61" s="430">
        <f>SUM(K62:K62)</f>
        <v>5000000</v>
      </c>
      <c r="L61" s="430">
        <v>0</v>
      </c>
      <c r="M61" s="537">
        <f>SUM(M62:M62)</f>
        <v>5000000</v>
      </c>
      <c r="N61" s="537">
        <v>0</v>
      </c>
      <c r="O61" s="537">
        <v>0</v>
      </c>
      <c r="P61" s="537">
        <v>0</v>
      </c>
      <c r="Q61" s="537">
        <f>SUM(Q62:Q62)</f>
        <v>5000000</v>
      </c>
      <c r="R61" s="448">
        <v>0</v>
      </c>
      <c r="S61" s="874"/>
      <c r="T61" s="874"/>
      <c r="U61" s="874"/>
      <c r="V61" s="874"/>
      <c r="W61" s="874"/>
      <c r="X61" s="874"/>
      <c r="Y61" s="874"/>
      <c r="Z61" s="874"/>
      <c r="AA61" s="874"/>
    </row>
    <row r="62" spans="1:27" x14ac:dyDescent="0.25">
      <c r="A62" s="801"/>
      <c r="B62" s="47">
        <v>0</v>
      </c>
      <c r="C62" s="616" t="s">
        <v>306</v>
      </c>
      <c r="D62" s="485" t="s">
        <v>6</v>
      </c>
      <c r="E62" s="47"/>
      <c r="F62" s="28">
        <v>0</v>
      </c>
      <c r="G62" s="866">
        <v>1</v>
      </c>
      <c r="H62" s="866">
        <f>'Tiên lượng'!X22</f>
        <v>1</v>
      </c>
      <c r="I62" s="866">
        <f>PRODUCT(F56, G62, H62)</f>
        <v>1</v>
      </c>
      <c r="J62" s="676">
        <v>5000000</v>
      </c>
      <c r="K62" s="676">
        <f>PRODUCT(G62, H62, J62)</f>
        <v>5000000</v>
      </c>
      <c r="L62" s="676">
        <v>5000000</v>
      </c>
      <c r="M62" s="767">
        <f>PRODUCT(G62, H62, L62)</f>
        <v>5000000</v>
      </c>
      <c r="N62" s="767">
        <v>0</v>
      </c>
      <c r="O62" s="767">
        <v>0</v>
      </c>
      <c r="P62" s="767">
        <v>5000000</v>
      </c>
      <c r="Q62" s="767">
        <f>PRODUCT(G62, H62, P62)</f>
        <v>5000000</v>
      </c>
      <c r="R62" s="82">
        <v>0</v>
      </c>
      <c r="S62" s="874"/>
      <c r="T62" s="874"/>
      <c r="U62" s="874"/>
      <c r="V62" s="874"/>
      <c r="W62" s="874"/>
      <c r="X62" s="874"/>
      <c r="Y62" s="874"/>
      <c r="Z62" s="874"/>
      <c r="AA62" s="874"/>
    </row>
    <row r="63" spans="1:27" ht="30" x14ac:dyDescent="0.25">
      <c r="A63" s="851"/>
      <c r="B63" s="110">
        <v>11</v>
      </c>
      <c r="C63" s="45" t="s">
        <v>172</v>
      </c>
      <c r="D63" s="554" t="str">
        <f>'Tiên lượng'!D23</f>
        <v>Công tác đào rãnh, hố ga để đặt cống thoát nước đầu tuyến bằng thủ công</v>
      </c>
      <c r="E63" s="110" t="str">
        <f>'Tiên lượng'!E23</f>
        <v>công</v>
      </c>
      <c r="F63" s="88">
        <f>'Tiên lượng'!M23</f>
        <v>4</v>
      </c>
      <c r="G63" s="26">
        <v>0</v>
      </c>
      <c r="H63" s="26">
        <v>0</v>
      </c>
      <c r="I63" s="26">
        <v>0</v>
      </c>
      <c r="J63" s="732">
        <v>0</v>
      </c>
      <c r="K63" s="732">
        <v>0</v>
      </c>
      <c r="L63" s="732">
        <v>0</v>
      </c>
      <c r="M63" s="818">
        <v>0</v>
      </c>
      <c r="N63" s="818">
        <v>0</v>
      </c>
      <c r="O63" s="818">
        <v>0</v>
      </c>
      <c r="P63" s="818">
        <v>0</v>
      </c>
      <c r="Q63" s="818">
        <v>0</v>
      </c>
      <c r="R63" s="155">
        <v>0</v>
      </c>
      <c r="S63" s="874"/>
      <c r="T63" s="874"/>
      <c r="U63" s="874"/>
      <c r="V63" s="874"/>
      <c r="W63" s="874"/>
      <c r="X63" s="874"/>
      <c r="Y63" s="874"/>
      <c r="Z63" s="874"/>
      <c r="AA63" s="874"/>
    </row>
    <row r="64" spans="1:27" x14ac:dyDescent="0.25">
      <c r="A64" s="849"/>
      <c r="B64" s="198">
        <v>0</v>
      </c>
      <c r="C64" s="121" t="s">
        <v>479</v>
      </c>
      <c r="D64" s="644" t="s">
        <v>1372</v>
      </c>
      <c r="E64" s="198"/>
      <c r="F64" s="182">
        <v>0</v>
      </c>
      <c r="G64" s="114">
        <v>0</v>
      </c>
      <c r="H64" s="114">
        <v>1</v>
      </c>
      <c r="I64" s="114">
        <v>0</v>
      </c>
      <c r="J64" s="430">
        <v>0</v>
      </c>
      <c r="K64" s="430">
        <f>SUM(K65:K65)</f>
        <v>0</v>
      </c>
      <c r="L64" s="430">
        <v>0</v>
      </c>
      <c r="M64" s="537">
        <f>SUM(M65:M65)</f>
        <v>0</v>
      </c>
      <c r="N64" s="537">
        <v>0</v>
      </c>
      <c r="O64" s="537">
        <v>0</v>
      </c>
      <c r="P64" s="537">
        <v>0</v>
      </c>
      <c r="Q64" s="537">
        <f>SUM(Q65:Q65)</f>
        <v>0</v>
      </c>
      <c r="R64" s="448">
        <v>0</v>
      </c>
      <c r="S64" s="874"/>
      <c r="T64" s="874"/>
      <c r="U64" s="874"/>
      <c r="V64" s="874"/>
      <c r="W64" s="874"/>
      <c r="X64" s="874"/>
      <c r="Y64" s="874"/>
      <c r="Z64" s="874"/>
      <c r="AA64" s="874"/>
    </row>
    <row r="65" spans="1:27" x14ac:dyDescent="0.25">
      <c r="A65" s="259"/>
      <c r="B65" s="405">
        <v>0</v>
      </c>
      <c r="C65" s="596" t="s">
        <v>306</v>
      </c>
      <c r="D65" s="828" t="s">
        <v>864</v>
      </c>
      <c r="E65" s="405"/>
      <c r="F65" s="393">
        <v>0</v>
      </c>
      <c r="G65" s="336">
        <v>1</v>
      </c>
      <c r="H65" s="336">
        <f>'Tiên lượng'!V23</f>
        <v>1</v>
      </c>
      <c r="I65" s="336">
        <f>PRODUCT(F63, G65, H65)</f>
        <v>4</v>
      </c>
      <c r="J65" s="659">
        <v>0</v>
      </c>
      <c r="K65" s="659">
        <f>PRODUCT(G65, H65, J65)</f>
        <v>0</v>
      </c>
      <c r="L65" s="659">
        <v>0</v>
      </c>
      <c r="M65" s="745">
        <f>PRODUCT(G65, H65, L65)</f>
        <v>0</v>
      </c>
      <c r="N65" s="745">
        <v>0</v>
      </c>
      <c r="O65" s="745">
        <v>0</v>
      </c>
      <c r="P65" s="745">
        <v>0</v>
      </c>
      <c r="Q65" s="745">
        <f>PRODUCT(G65, H65, P65)</f>
        <v>0</v>
      </c>
      <c r="R65" s="448">
        <v>0</v>
      </c>
      <c r="S65" s="874"/>
      <c r="T65" s="874"/>
      <c r="U65" s="874"/>
      <c r="V65" s="874"/>
      <c r="W65" s="874"/>
      <c r="X65" s="874"/>
      <c r="Y65" s="874"/>
      <c r="Z65" s="874"/>
      <c r="AA65" s="874"/>
    </row>
    <row r="66" spans="1:27" x14ac:dyDescent="0.25">
      <c r="A66" s="849"/>
      <c r="B66" s="198">
        <v>0</v>
      </c>
      <c r="C66" s="121" t="s">
        <v>125</v>
      </c>
      <c r="D66" s="644" t="s">
        <v>890</v>
      </c>
      <c r="E66" s="198"/>
      <c r="F66" s="182">
        <v>0</v>
      </c>
      <c r="G66" s="114">
        <v>0</v>
      </c>
      <c r="H66" s="114">
        <v>1</v>
      </c>
      <c r="I66" s="114">
        <v>0</v>
      </c>
      <c r="J66" s="430">
        <v>0</v>
      </c>
      <c r="K66" s="430">
        <f>SUM(K67:K67)</f>
        <v>450000</v>
      </c>
      <c r="L66" s="430">
        <v>0</v>
      </c>
      <c r="M66" s="537">
        <f>SUM(M67:M67)</f>
        <v>450000</v>
      </c>
      <c r="N66" s="537">
        <v>0</v>
      </c>
      <c r="O66" s="537">
        <v>0</v>
      </c>
      <c r="P66" s="537">
        <v>0</v>
      </c>
      <c r="Q66" s="537">
        <f>SUM(Q67:Q67)</f>
        <v>450000</v>
      </c>
      <c r="R66" s="448">
        <v>0</v>
      </c>
      <c r="S66" s="874"/>
      <c r="T66" s="874"/>
      <c r="U66" s="874"/>
      <c r="V66" s="874"/>
      <c r="W66" s="874"/>
      <c r="X66" s="874"/>
      <c r="Y66" s="874"/>
      <c r="Z66" s="874"/>
      <c r="AA66" s="874"/>
    </row>
    <row r="67" spans="1:27" x14ac:dyDescent="0.25">
      <c r="A67" s="259"/>
      <c r="B67" s="405">
        <v>0</v>
      </c>
      <c r="C67" s="596" t="s">
        <v>306</v>
      </c>
      <c r="D67" s="828" t="s">
        <v>492</v>
      </c>
      <c r="E67" s="405"/>
      <c r="F67" s="393">
        <v>0</v>
      </c>
      <c r="G67" s="336">
        <v>1</v>
      </c>
      <c r="H67" s="336">
        <f>'Tiên lượng'!W23</f>
        <v>1</v>
      </c>
      <c r="I67" s="336">
        <f>PRODUCT(F63, G67, H67)</f>
        <v>4</v>
      </c>
      <c r="J67" s="659">
        <v>450000</v>
      </c>
      <c r="K67" s="659">
        <f>PRODUCT(G67, H67, J67)</f>
        <v>450000</v>
      </c>
      <c r="L67" s="659">
        <v>450000</v>
      </c>
      <c r="M67" s="745">
        <f>PRODUCT(G67, H67, L67)</f>
        <v>450000</v>
      </c>
      <c r="N67" s="745">
        <v>0</v>
      </c>
      <c r="O67" s="745">
        <v>0</v>
      </c>
      <c r="P67" s="745">
        <v>450000</v>
      </c>
      <c r="Q67" s="745">
        <f>PRODUCT(G67, H67, P67)</f>
        <v>450000</v>
      </c>
      <c r="R67" s="448">
        <v>0</v>
      </c>
      <c r="S67" s="874"/>
      <c r="T67" s="874"/>
      <c r="U67" s="874"/>
      <c r="V67" s="874"/>
      <c r="W67" s="874"/>
      <c r="X67" s="874"/>
      <c r="Y67" s="874"/>
      <c r="Z67" s="874"/>
      <c r="AA67" s="874"/>
    </row>
    <row r="68" spans="1:27" x14ac:dyDescent="0.25">
      <c r="A68" s="849"/>
      <c r="B68" s="198">
        <v>0</v>
      </c>
      <c r="C68" s="121" t="s">
        <v>539</v>
      </c>
      <c r="D68" s="644" t="s">
        <v>556</v>
      </c>
      <c r="E68" s="198"/>
      <c r="F68" s="182">
        <v>0</v>
      </c>
      <c r="G68" s="114">
        <v>0</v>
      </c>
      <c r="H68" s="114">
        <v>1</v>
      </c>
      <c r="I68" s="114">
        <v>0</v>
      </c>
      <c r="J68" s="430">
        <v>0</v>
      </c>
      <c r="K68" s="430">
        <f>SUM(K69:K69)</f>
        <v>0</v>
      </c>
      <c r="L68" s="430">
        <v>0</v>
      </c>
      <c r="M68" s="537">
        <f>SUM(M69:M69)</f>
        <v>0</v>
      </c>
      <c r="N68" s="537">
        <v>0</v>
      </c>
      <c r="O68" s="537">
        <v>0</v>
      </c>
      <c r="P68" s="537">
        <v>0</v>
      </c>
      <c r="Q68" s="537">
        <f>SUM(Q69:Q69)</f>
        <v>0</v>
      </c>
      <c r="R68" s="448">
        <v>0</v>
      </c>
      <c r="S68" s="874"/>
      <c r="T68" s="874"/>
      <c r="U68" s="874"/>
      <c r="V68" s="874"/>
      <c r="W68" s="874"/>
      <c r="X68" s="874"/>
      <c r="Y68" s="874"/>
      <c r="Z68" s="874"/>
      <c r="AA68" s="874"/>
    </row>
    <row r="69" spans="1:27" x14ac:dyDescent="0.25">
      <c r="A69" s="801"/>
      <c r="B69" s="47">
        <v>0</v>
      </c>
      <c r="C69" s="616" t="s">
        <v>306</v>
      </c>
      <c r="D69" s="485" t="s">
        <v>6</v>
      </c>
      <c r="E69" s="47"/>
      <c r="F69" s="28">
        <v>0</v>
      </c>
      <c r="G69" s="866">
        <v>1</v>
      </c>
      <c r="H69" s="866">
        <f>'Tiên lượng'!X23</f>
        <v>1</v>
      </c>
      <c r="I69" s="866">
        <f>PRODUCT(F63, G69, H69)</f>
        <v>4</v>
      </c>
      <c r="J69" s="676">
        <v>0</v>
      </c>
      <c r="K69" s="676">
        <f>PRODUCT(G69, H69, J69)</f>
        <v>0</v>
      </c>
      <c r="L69" s="676">
        <v>0</v>
      </c>
      <c r="M69" s="767">
        <f>PRODUCT(G69, H69, L69)</f>
        <v>0</v>
      </c>
      <c r="N69" s="767">
        <v>0</v>
      </c>
      <c r="O69" s="767">
        <v>0</v>
      </c>
      <c r="P69" s="767">
        <v>0</v>
      </c>
      <c r="Q69" s="767">
        <f>PRODUCT(G69, H69, P69)</f>
        <v>0</v>
      </c>
      <c r="R69" s="82">
        <v>0</v>
      </c>
      <c r="S69" s="874"/>
      <c r="T69" s="874"/>
      <c r="U69" s="874"/>
      <c r="V69" s="874"/>
      <c r="W69" s="874"/>
      <c r="X69" s="874"/>
      <c r="Y69" s="874"/>
      <c r="Z69" s="874"/>
      <c r="AA69" s="874"/>
    </row>
    <row r="70" spans="1:27" ht="30" x14ac:dyDescent="0.25">
      <c r="A70" s="851"/>
      <c r="B70" s="110">
        <v>12</v>
      </c>
      <c r="C70" s="45" t="s">
        <v>220</v>
      </c>
      <c r="D70" s="554" t="str">
        <f>'Tiên lượng'!D24</f>
        <v>Lắp đặt ống bê tông bằng cần cẩu, đoạn ống dài 1m - Đường kính ≤600mm</v>
      </c>
      <c r="E70" s="110" t="str">
        <f>'Tiên lượng'!E24</f>
        <v>1 đoạn ống</v>
      </c>
      <c r="F70" s="88">
        <f>'Tiên lượng'!M24</f>
        <v>5</v>
      </c>
      <c r="G70" s="26">
        <v>0</v>
      </c>
      <c r="H70" s="26">
        <v>0</v>
      </c>
      <c r="I70" s="26">
        <v>0</v>
      </c>
      <c r="J70" s="732">
        <v>0</v>
      </c>
      <c r="K70" s="732">
        <v>0</v>
      </c>
      <c r="L70" s="732">
        <v>0</v>
      </c>
      <c r="M70" s="818">
        <v>0</v>
      </c>
      <c r="N70" s="818">
        <v>0</v>
      </c>
      <c r="O70" s="818">
        <v>0</v>
      </c>
      <c r="P70" s="818">
        <v>0</v>
      </c>
      <c r="Q70" s="818">
        <v>0</v>
      </c>
      <c r="R70" s="155">
        <v>0</v>
      </c>
      <c r="S70" s="874"/>
      <c r="T70" s="874"/>
      <c r="U70" s="874"/>
      <c r="V70" s="874"/>
      <c r="W70" s="874"/>
      <c r="X70" s="874"/>
      <c r="Y70" s="874"/>
      <c r="Z70" s="874"/>
      <c r="AA70" s="874"/>
    </row>
    <row r="71" spans="1:27" x14ac:dyDescent="0.25">
      <c r="A71" s="849"/>
      <c r="B71" s="198">
        <v>0</v>
      </c>
      <c r="C71" s="121" t="s">
        <v>479</v>
      </c>
      <c r="D71" s="644" t="s">
        <v>1372</v>
      </c>
      <c r="E71" s="198"/>
      <c r="F71" s="182">
        <v>0</v>
      </c>
      <c r="G71" s="114">
        <v>0</v>
      </c>
      <c r="H71" s="114"/>
      <c r="I71" s="114">
        <v>0</v>
      </c>
      <c r="J71" s="430">
        <v>0</v>
      </c>
      <c r="K71" s="430">
        <f>SUM(K72:K73)</f>
        <v>1050525</v>
      </c>
      <c r="L71" s="430">
        <v>0</v>
      </c>
      <c r="M71" s="537">
        <f>SUM(M72:M73)</f>
        <v>1050525</v>
      </c>
      <c r="N71" s="537">
        <v>0</v>
      </c>
      <c r="O71" s="537">
        <v>0</v>
      </c>
      <c r="P71" s="537">
        <v>0</v>
      </c>
      <c r="Q71" s="537">
        <f>SUM(Q72:Q73)</f>
        <v>1050525</v>
      </c>
      <c r="R71" s="448">
        <v>0</v>
      </c>
      <c r="S71" s="874"/>
      <c r="T71" s="874"/>
      <c r="U71" s="874"/>
      <c r="V71" s="874"/>
      <c r="W71" s="874"/>
      <c r="X71" s="874"/>
      <c r="Y71" s="874"/>
      <c r="Z71" s="874"/>
      <c r="AA71" s="874"/>
    </row>
    <row r="72" spans="1:27" x14ac:dyDescent="0.25">
      <c r="A72" s="259"/>
      <c r="B72" s="405">
        <v>0</v>
      </c>
      <c r="C72" s="339" t="s">
        <v>258</v>
      </c>
      <c r="D72" s="828" t="str">
        <f>" - " &amp; 'Giá VL'!E5</f>
        <v xml:space="preserve"> - Ống bê tông D ≤600mm, L=1m</v>
      </c>
      <c r="E72" s="405" t="str">
        <f>'Giá VL'!F5</f>
        <v>đoạn</v>
      </c>
      <c r="F72" s="393">
        <v>0</v>
      </c>
      <c r="G72" s="336">
        <v>1</v>
      </c>
      <c r="H72" s="336">
        <f>'Tiên lượng'!V24</f>
        <v>1</v>
      </c>
      <c r="I72" s="336">
        <f>PRODUCT(F70, G72, H72)</f>
        <v>5</v>
      </c>
      <c r="J72" s="659">
        <f>'Giá VL'!G5</f>
        <v>1050000</v>
      </c>
      <c r="K72" s="659">
        <f t="shared" ref="K72:K73" si="6">PRODUCT(G72, H72, J72)</f>
        <v>1050000</v>
      </c>
      <c r="L72" s="659">
        <f>'Giá VL'!J5</f>
        <v>1050000</v>
      </c>
      <c r="M72" s="745">
        <f t="shared" ref="M72:M73" si="7">PRODUCT(G72, H72, L72)</f>
        <v>1050000</v>
      </c>
      <c r="N72" s="745">
        <v>0</v>
      </c>
      <c r="O72" s="745">
        <v>0</v>
      </c>
      <c r="P72" s="745">
        <f>'Giá VL'!V5</f>
        <v>1050000</v>
      </c>
      <c r="Q72" s="745">
        <f t="shared" ref="Q72:Q73" si="8">PRODUCT(G72, H72, P72)</f>
        <v>1050000</v>
      </c>
      <c r="R72" s="448">
        <v>0.05</v>
      </c>
      <c r="S72" s="874"/>
      <c r="T72" s="874"/>
      <c r="U72" s="874"/>
      <c r="V72" s="874"/>
      <c r="W72" s="874"/>
      <c r="X72" s="874"/>
      <c r="Y72" s="874"/>
      <c r="Z72" s="874"/>
      <c r="AA72" s="874"/>
    </row>
    <row r="73" spans="1:27" x14ac:dyDescent="0.25">
      <c r="A73" s="259"/>
      <c r="B73" s="405">
        <v>0</v>
      </c>
      <c r="C73" s="339" t="s">
        <v>429</v>
      </c>
      <c r="D73" s="828" t="s">
        <v>506</v>
      </c>
      <c r="E73" s="405" t="s">
        <v>1086</v>
      </c>
      <c r="F73" s="393">
        <v>0</v>
      </c>
      <c r="G73" s="336">
        <f>AVERAGE(R72:R72)</f>
        <v>0.05</v>
      </c>
      <c r="H73" s="336">
        <f>'Tiên lượng'!V24</f>
        <v>1</v>
      </c>
      <c r="I73" s="336">
        <f>PRODUCT(F70, G73, H73)</f>
        <v>0.25</v>
      </c>
      <c r="J73" s="659">
        <f>(G72*J72)/100</f>
        <v>10500</v>
      </c>
      <c r="K73" s="659">
        <f t="shared" si="6"/>
        <v>525</v>
      </c>
      <c r="L73" s="659">
        <f>(G72*L72)/100</f>
        <v>10500</v>
      </c>
      <c r="M73" s="745">
        <f t="shared" si="7"/>
        <v>525</v>
      </c>
      <c r="N73" s="745">
        <v>0</v>
      </c>
      <c r="O73" s="745">
        <v>0</v>
      </c>
      <c r="P73" s="745">
        <f>(G72*P72)/100</f>
        <v>10500</v>
      </c>
      <c r="Q73" s="745">
        <f t="shared" si="8"/>
        <v>525</v>
      </c>
      <c r="R73" s="448">
        <v>0</v>
      </c>
      <c r="S73" s="874"/>
      <c r="T73" s="874"/>
      <c r="U73" s="874"/>
      <c r="V73" s="874"/>
      <c r="W73" s="874"/>
      <c r="X73" s="874"/>
      <c r="Y73" s="874"/>
      <c r="Z73" s="874"/>
      <c r="AA73" s="874"/>
    </row>
    <row r="74" spans="1:27" x14ac:dyDescent="0.25">
      <c r="A74" s="849"/>
      <c r="B74" s="198">
        <v>0</v>
      </c>
      <c r="C74" s="121" t="s">
        <v>125</v>
      </c>
      <c r="D74" s="644" t="s">
        <v>890</v>
      </c>
      <c r="E74" s="198"/>
      <c r="F74" s="182">
        <v>0</v>
      </c>
      <c r="G74" s="114">
        <v>0</v>
      </c>
      <c r="H74" s="114"/>
      <c r="I74" s="114">
        <v>0</v>
      </c>
      <c r="J74" s="430">
        <v>0</v>
      </c>
      <c r="K74" s="430">
        <f>SUM(K75:K75)</f>
        <v>70200</v>
      </c>
      <c r="L74" s="430">
        <v>0</v>
      </c>
      <c r="M74" s="537">
        <f>SUM(M75:M75)</f>
        <v>70200</v>
      </c>
      <c r="N74" s="537">
        <v>0</v>
      </c>
      <c r="O74" s="537">
        <v>0</v>
      </c>
      <c r="P74" s="537">
        <v>0</v>
      </c>
      <c r="Q74" s="537">
        <f>SUM(Q75:Q75)</f>
        <v>70200</v>
      </c>
      <c r="R74" s="448">
        <v>0</v>
      </c>
      <c r="S74" s="874"/>
      <c r="T74" s="874"/>
      <c r="U74" s="874"/>
      <c r="V74" s="874"/>
      <c r="W74" s="874"/>
      <c r="X74" s="874"/>
      <c r="Y74" s="874"/>
      <c r="Z74" s="874"/>
      <c r="AA74" s="874"/>
    </row>
    <row r="75" spans="1:27" x14ac:dyDescent="0.25">
      <c r="A75" s="259"/>
      <c r="B75" s="405">
        <v>0</v>
      </c>
      <c r="C75" s="339" t="s">
        <v>1055</v>
      </c>
      <c r="D75" s="828" t="str">
        <f>" - " &amp; 'Giá NC'!E7</f>
        <v xml:space="preserve"> - Nhân công bậc 3,5/7 - Nhóm 2</v>
      </c>
      <c r="E75" s="405" t="str">
        <f>'Giá NC'!F7</f>
        <v>công</v>
      </c>
      <c r="F75" s="393">
        <v>0</v>
      </c>
      <c r="G75" s="336">
        <v>0.26</v>
      </c>
      <c r="H75" s="336">
        <f>'Tiên lượng'!W24</f>
        <v>1</v>
      </c>
      <c r="I75" s="336">
        <f>PRODUCT(F70, G75, H75)</f>
        <v>1.3</v>
      </c>
      <c r="J75" s="659">
        <f>'Giá NC'!G7</f>
        <v>270000</v>
      </c>
      <c r="K75" s="659">
        <f>PRODUCT(G75, H75, J75)</f>
        <v>70200</v>
      </c>
      <c r="L75" s="659">
        <f>'Giá NC'!H7</f>
        <v>270000</v>
      </c>
      <c r="M75" s="745">
        <f>PRODUCT(G75, H75, L75)</f>
        <v>70200</v>
      </c>
      <c r="N75" s="745">
        <v>0</v>
      </c>
      <c r="O75" s="745">
        <v>0</v>
      </c>
      <c r="P75" s="745">
        <f>'Giá NC'!K7</f>
        <v>270000</v>
      </c>
      <c r="Q75" s="745">
        <f>PRODUCT(G75, H75, P75)</f>
        <v>70200</v>
      </c>
      <c r="R75" s="448">
        <v>0</v>
      </c>
      <c r="S75" s="874"/>
      <c r="T75" s="874"/>
      <c r="U75" s="874"/>
      <c r="V75" s="874"/>
      <c r="W75" s="874"/>
      <c r="X75" s="874"/>
      <c r="Y75" s="874"/>
      <c r="Z75" s="874"/>
      <c r="AA75" s="874"/>
    </row>
    <row r="76" spans="1:27" x14ac:dyDescent="0.25">
      <c r="A76" s="849"/>
      <c r="B76" s="198">
        <v>0</v>
      </c>
      <c r="C76" s="121" t="s">
        <v>539</v>
      </c>
      <c r="D76" s="644" t="s">
        <v>556</v>
      </c>
      <c r="E76" s="198"/>
      <c r="F76" s="182">
        <v>0</v>
      </c>
      <c r="G76" s="114">
        <v>0</v>
      </c>
      <c r="H76" s="114"/>
      <c r="I76" s="114">
        <v>0</v>
      </c>
      <c r="J76" s="430">
        <v>0</v>
      </c>
      <c r="K76" s="430">
        <f>SUM(K77:K78)</f>
        <v>63337.465799999998</v>
      </c>
      <c r="L76" s="430">
        <v>0</v>
      </c>
      <c r="M76" s="537">
        <f>SUM(M77:M78)</f>
        <v>63337.465799999998</v>
      </c>
      <c r="N76" s="537">
        <v>0</v>
      </c>
      <c r="O76" s="537">
        <v>0</v>
      </c>
      <c r="P76" s="537">
        <v>0</v>
      </c>
      <c r="Q76" s="537">
        <f>SUM(Q77:Q78)</f>
        <v>63337.465799999998</v>
      </c>
      <c r="R76" s="448">
        <v>0</v>
      </c>
      <c r="S76" s="874"/>
      <c r="T76" s="874"/>
      <c r="U76" s="874"/>
      <c r="V76" s="874"/>
      <c r="W76" s="874"/>
      <c r="X76" s="874"/>
      <c r="Y76" s="874"/>
      <c r="Z76" s="874"/>
      <c r="AA76" s="874"/>
    </row>
    <row r="77" spans="1:27" x14ac:dyDescent="0.25">
      <c r="A77" s="259"/>
      <c r="B77" s="405">
        <v>0</v>
      </c>
      <c r="C77" s="339" t="s">
        <v>701</v>
      </c>
      <c r="D77" s="828" t="str">
        <f>" - " &amp; 'Giá Máy'!E6</f>
        <v xml:space="preserve"> - Cần cẩu bánh hơi 6T</v>
      </c>
      <c r="E77" s="405" t="str">
        <f>'Giá Máy'!F6</f>
        <v>ca</v>
      </c>
      <c r="F77" s="393">
        <v>0</v>
      </c>
      <c r="G77" s="336">
        <v>3.6999999999999998E-2</v>
      </c>
      <c r="H77" s="336">
        <f>'Tiên lượng'!X24</f>
        <v>1</v>
      </c>
      <c r="I77" s="336">
        <f>PRODUCT(F70, G77, H77)</f>
        <v>0.185</v>
      </c>
      <c r="J77" s="659">
        <f>'Giá Máy'!G6</f>
        <v>1630308</v>
      </c>
      <c r="K77" s="659">
        <f t="shared" ref="K77:K78" si="9">PRODUCT(G77, H77, J77)</f>
        <v>60321.396000000001</v>
      </c>
      <c r="L77" s="659">
        <f>'Giá Máy'!H6</f>
        <v>1630308</v>
      </c>
      <c r="M77" s="745">
        <f t="shared" ref="M77:M78" si="10">PRODUCT(G77, H77, L77)</f>
        <v>60321.396000000001</v>
      </c>
      <c r="N77" s="745">
        <v>0</v>
      </c>
      <c r="O77" s="745">
        <v>0</v>
      </c>
      <c r="P77" s="745">
        <f>'Giá Máy'!O6</f>
        <v>1630308</v>
      </c>
      <c r="Q77" s="745">
        <f t="shared" ref="Q77:Q78" si="11">PRODUCT(G77, H77, P77)</f>
        <v>60321.396000000001</v>
      </c>
      <c r="R77" s="448">
        <v>5</v>
      </c>
      <c r="S77" s="874"/>
      <c r="T77" s="874"/>
      <c r="U77" s="874"/>
      <c r="V77" s="874"/>
      <c r="W77" s="874"/>
      <c r="X77" s="874"/>
      <c r="Y77" s="874"/>
      <c r="Z77" s="874"/>
      <c r="AA77" s="874"/>
    </row>
    <row r="78" spans="1:27" x14ac:dyDescent="0.25">
      <c r="A78" s="801"/>
      <c r="B78" s="47">
        <v>0</v>
      </c>
      <c r="C78" s="359" t="s">
        <v>760</v>
      </c>
      <c r="D78" s="485" t="s">
        <v>830</v>
      </c>
      <c r="E78" s="47" t="s">
        <v>1086</v>
      </c>
      <c r="F78" s="28">
        <v>0</v>
      </c>
      <c r="G78" s="866">
        <f>AVERAGE(R77:R77)</f>
        <v>5</v>
      </c>
      <c r="H78" s="866">
        <f>'Tiên lượng'!X24</f>
        <v>1</v>
      </c>
      <c r="I78" s="866">
        <f>PRODUCT(F70, G78, H78)</f>
        <v>25</v>
      </c>
      <c r="J78" s="676">
        <f>(G77*J77)/100</f>
        <v>603.21396000000004</v>
      </c>
      <c r="K78" s="676">
        <f t="shared" si="9"/>
        <v>3016.0698000000002</v>
      </c>
      <c r="L78" s="676">
        <f>(G77*L77)/100</f>
        <v>603.21396000000004</v>
      </c>
      <c r="M78" s="767">
        <f t="shared" si="10"/>
        <v>3016.0698000000002</v>
      </c>
      <c r="N78" s="767">
        <v>0</v>
      </c>
      <c r="O78" s="767">
        <v>0</v>
      </c>
      <c r="P78" s="767">
        <f>(G77*P77)/100</f>
        <v>603.21396000000004</v>
      </c>
      <c r="Q78" s="767">
        <f t="shared" si="11"/>
        <v>3016.0698000000002</v>
      </c>
      <c r="R78" s="82">
        <v>0</v>
      </c>
      <c r="S78" s="874"/>
      <c r="T78" s="874"/>
      <c r="U78" s="874"/>
      <c r="V78" s="874"/>
      <c r="W78" s="874"/>
      <c r="X78" s="874"/>
      <c r="Y78" s="874"/>
      <c r="Z78" s="874"/>
      <c r="AA78" s="874"/>
    </row>
    <row r="79" spans="1:27" x14ac:dyDescent="0.25">
      <c r="A79" s="851"/>
      <c r="B79" s="110">
        <v>13</v>
      </c>
      <c r="C79" s="45" t="s">
        <v>172</v>
      </c>
      <c r="D79" s="554" t="str">
        <f>'Tiên lượng'!D25</f>
        <v>Thi công hố ga 2 đầu cống</v>
      </c>
      <c r="E79" s="110" t="str">
        <f>'Tiên lượng'!E25</f>
        <v>cái</v>
      </c>
      <c r="F79" s="88">
        <f>'Tiên lượng'!M25</f>
        <v>2</v>
      </c>
      <c r="G79" s="26">
        <v>0</v>
      </c>
      <c r="H79" s="26">
        <v>0</v>
      </c>
      <c r="I79" s="26">
        <v>0</v>
      </c>
      <c r="J79" s="732">
        <v>0</v>
      </c>
      <c r="K79" s="732">
        <v>0</v>
      </c>
      <c r="L79" s="732">
        <v>0</v>
      </c>
      <c r="M79" s="818">
        <v>0</v>
      </c>
      <c r="N79" s="818">
        <v>0</v>
      </c>
      <c r="O79" s="818">
        <v>0</v>
      </c>
      <c r="P79" s="818">
        <v>0</v>
      </c>
      <c r="Q79" s="818">
        <v>0</v>
      </c>
      <c r="R79" s="155">
        <v>0</v>
      </c>
      <c r="S79" s="874"/>
      <c r="T79" s="874"/>
      <c r="U79" s="874"/>
      <c r="V79" s="874"/>
      <c r="W79" s="874"/>
      <c r="X79" s="874"/>
      <c r="Y79" s="874"/>
      <c r="Z79" s="874"/>
      <c r="AA79" s="874"/>
    </row>
    <row r="80" spans="1:27" x14ac:dyDescent="0.25">
      <c r="A80" s="849"/>
      <c r="B80" s="198">
        <v>0</v>
      </c>
      <c r="C80" s="121" t="s">
        <v>479</v>
      </c>
      <c r="D80" s="644" t="s">
        <v>1372</v>
      </c>
      <c r="E80" s="198"/>
      <c r="F80" s="182">
        <v>0</v>
      </c>
      <c r="G80" s="114">
        <v>0</v>
      </c>
      <c r="H80" s="114">
        <v>1</v>
      </c>
      <c r="I80" s="114">
        <v>0</v>
      </c>
      <c r="J80" s="430">
        <v>0</v>
      </c>
      <c r="K80" s="430">
        <f>SUM(K81:K81)</f>
        <v>1000000</v>
      </c>
      <c r="L80" s="430">
        <v>0</v>
      </c>
      <c r="M80" s="537">
        <f>SUM(M81:M81)</f>
        <v>1000000</v>
      </c>
      <c r="N80" s="537">
        <v>0</v>
      </c>
      <c r="O80" s="537">
        <v>0</v>
      </c>
      <c r="P80" s="537">
        <v>0</v>
      </c>
      <c r="Q80" s="537">
        <f>SUM(Q81:Q81)</f>
        <v>1000000</v>
      </c>
      <c r="R80" s="448">
        <v>0</v>
      </c>
      <c r="S80" s="874"/>
      <c r="T80" s="874"/>
      <c r="U80" s="874"/>
      <c r="V80" s="874"/>
      <c r="W80" s="874"/>
      <c r="X80" s="874"/>
      <c r="Y80" s="874"/>
      <c r="Z80" s="874"/>
      <c r="AA80" s="874"/>
    </row>
    <row r="81" spans="1:27" x14ac:dyDescent="0.25">
      <c r="A81" s="259"/>
      <c r="B81" s="405">
        <v>0</v>
      </c>
      <c r="C81" s="596" t="s">
        <v>306</v>
      </c>
      <c r="D81" s="828" t="s">
        <v>864</v>
      </c>
      <c r="E81" s="405"/>
      <c r="F81" s="393">
        <v>0</v>
      </c>
      <c r="G81" s="336">
        <v>1</v>
      </c>
      <c r="H81" s="336">
        <f>'Tiên lượng'!V25</f>
        <v>1</v>
      </c>
      <c r="I81" s="336">
        <f>PRODUCT(F79, G81, H81)</f>
        <v>2</v>
      </c>
      <c r="J81" s="659">
        <v>1000000</v>
      </c>
      <c r="K81" s="659">
        <f>PRODUCT(G81, H81, J81)</f>
        <v>1000000</v>
      </c>
      <c r="L81" s="659">
        <v>1000000</v>
      </c>
      <c r="M81" s="745">
        <f>PRODUCT(G81, H81, L81)</f>
        <v>1000000</v>
      </c>
      <c r="N81" s="745">
        <v>0</v>
      </c>
      <c r="O81" s="745">
        <v>0</v>
      </c>
      <c r="P81" s="745">
        <v>1000000</v>
      </c>
      <c r="Q81" s="745">
        <f>PRODUCT(G81, H81, P81)</f>
        <v>1000000</v>
      </c>
      <c r="R81" s="448">
        <v>0</v>
      </c>
      <c r="S81" s="874"/>
      <c r="T81" s="874"/>
      <c r="U81" s="874"/>
      <c r="V81" s="874"/>
      <c r="W81" s="874"/>
      <c r="X81" s="874"/>
      <c r="Y81" s="874"/>
      <c r="Z81" s="874"/>
      <c r="AA81" s="874"/>
    </row>
    <row r="82" spans="1:27" x14ac:dyDescent="0.25">
      <c r="A82" s="849"/>
      <c r="B82" s="198">
        <v>0</v>
      </c>
      <c r="C82" s="121" t="s">
        <v>125</v>
      </c>
      <c r="D82" s="644" t="s">
        <v>890</v>
      </c>
      <c r="E82" s="198"/>
      <c r="F82" s="182">
        <v>0</v>
      </c>
      <c r="G82" s="114">
        <v>0</v>
      </c>
      <c r="H82" s="114">
        <v>1</v>
      </c>
      <c r="I82" s="114">
        <v>0</v>
      </c>
      <c r="J82" s="430">
        <v>0</v>
      </c>
      <c r="K82" s="430">
        <f>SUM(K83:K83)</f>
        <v>1000000</v>
      </c>
      <c r="L82" s="430">
        <v>0</v>
      </c>
      <c r="M82" s="537">
        <f>SUM(M83:M83)</f>
        <v>1000000</v>
      </c>
      <c r="N82" s="537">
        <v>0</v>
      </c>
      <c r="O82" s="537">
        <v>0</v>
      </c>
      <c r="P82" s="537">
        <v>0</v>
      </c>
      <c r="Q82" s="537">
        <f>SUM(Q83:Q83)</f>
        <v>1000000</v>
      </c>
      <c r="R82" s="448">
        <v>0</v>
      </c>
      <c r="S82" s="874"/>
      <c r="T82" s="874"/>
      <c r="U82" s="874"/>
      <c r="V82" s="874"/>
      <c r="W82" s="874"/>
      <c r="X82" s="874"/>
      <c r="Y82" s="874"/>
      <c r="Z82" s="874"/>
      <c r="AA82" s="874"/>
    </row>
    <row r="83" spans="1:27" x14ac:dyDescent="0.25">
      <c r="A83" s="259"/>
      <c r="B83" s="405">
        <v>0</v>
      </c>
      <c r="C83" s="596" t="s">
        <v>306</v>
      </c>
      <c r="D83" s="828" t="s">
        <v>492</v>
      </c>
      <c r="E83" s="405"/>
      <c r="F83" s="393">
        <v>0</v>
      </c>
      <c r="G83" s="336">
        <v>1</v>
      </c>
      <c r="H83" s="336">
        <f>'Tiên lượng'!W25</f>
        <v>1</v>
      </c>
      <c r="I83" s="336">
        <f>PRODUCT(F79, G83, H83)</f>
        <v>2</v>
      </c>
      <c r="J83" s="659">
        <v>1000000</v>
      </c>
      <c r="K83" s="659">
        <f>PRODUCT(G83, H83, J83)</f>
        <v>1000000</v>
      </c>
      <c r="L83" s="659">
        <v>1000000</v>
      </c>
      <c r="M83" s="745">
        <f>PRODUCT(G83, H83, L83)</f>
        <v>1000000</v>
      </c>
      <c r="N83" s="745">
        <v>0</v>
      </c>
      <c r="O83" s="745">
        <v>0</v>
      </c>
      <c r="P83" s="745">
        <v>1000000</v>
      </c>
      <c r="Q83" s="745">
        <f>PRODUCT(G83, H83, P83)</f>
        <v>1000000</v>
      </c>
      <c r="R83" s="448">
        <v>0</v>
      </c>
      <c r="S83" s="874"/>
      <c r="T83" s="874"/>
      <c r="U83" s="874"/>
      <c r="V83" s="874"/>
      <c r="W83" s="874"/>
      <c r="X83" s="874"/>
      <c r="Y83" s="874"/>
      <c r="Z83" s="874"/>
      <c r="AA83" s="874"/>
    </row>
    <row r="84" spans="1:27" x14ac:dyDescent="0.25">
      <c r="A84" s="849"/>
      <c r="B84" s="198">
        <v>0</v>
      </c>
      <c r="C84" s="121" t="s">
        <v>539</v>
      </c>
      <c r="D84" s="644" t="s">
        <v>556</v>
      </c>
      <c r="E84" s="198"/>
      <c r="F84" s="182">
        <v>0</v>
      </c>
      <c r="G84" s="114">
        <v>0</v>
      </c>
      <c r="H84" s="114">
        <v>1</v>
      </c>
      <c r="I84" s="114">
        <v>0</v>
      </c>
      <c r="J84" s="430">
        <v>0</v>
      </c>
      <c r="K84" s="430">
        <f>SUM(K85:K85)</f>
        <v>0</v>
      </c>
      <c r="L84" s="430">
        <v>0</v>
      </c>
      <c r="M84" s="537">
        <f>SUM(M85:M85)</f>
        <v>0</v>
      </c>
      <c r="N84" s="537">
        <v>0</v>
      </c>
      <c r="O84" s="537">
        <v>0</v>
      </c>
      <c r="P84" s="537">
        <v>0</v>
      </c>
      <c r="Q84" s="537">
        <f>SUM(Q85:Q85)</f>
        <v>0</v>
      </c>
      <c r="R84" s="448">
        <v>0</v>
      </c>
      <c r="S84" s="874"/>
      <c r="T84" s="874"/>
      <c r="U84" s="874"/>
      <c r="V84" s="874"/>
      <c r="W84" s="874"/>
      <c r="X84" s="874"/>
      <c r="Y84" s="874"/>
      <c r="Z84" s="874"/>
      <c r="AA84" s="874"/>
    </row>
    <row r="85" spans="1:27" x14ac:dyDescent="0.25">
      <c r="A85" s="801"/>
      <c r="B85" s="47">
        <v>0</v>
      </c>
      <c r="C85" s="616" t="s">
        <v>306</v>
      </c>
      <c r="D85" s="485" t="s">
        <v>6</v>
      </c>
      <c r="E85" s="47"/>
      <c r="F85" s="28">
        <v>0</v>
      </c>
      <c r="G85" s="866">
        <v>1</v>
      </c>
      <c r="H85" s="866">
        <f>'Tiên lượng'!X25</f>
        <v>1</v>
      </c>
      <c r="I85" s="866">
        <f>PRODUCT(F79, G85, H85)</f>
        <v>2</v>
      </c>
      <c r="J85" s="676">
        <v>0</v>
      </c>
      <c r="K85" s="676">
        <f>PRODUCT(G85, H85, J85)</f>
        <v>0</v>
      </c>
      <c r="L85" s="676">
        <v>0</v>
      </c>
      <c r="M85" s="767">
        <f>PRODUCT(G85, H85, L85)</f>
        <v>0</v>
      </c>
      <c r="N85" s="767">
        <v>0</v>
      </c>
      <c r="O85" s="767">
        <v>0</v>
      </c>
      <c r="P85" s="767">
        <v>0</v>
      </c>
      <c r="Q85" s="767">
        <f>PRODUCT(G85, H85, P85)</f>
        <v>0</v>
      </c>
      <c r="R85" s="82">
        <v>0</v>
      </c>
      <c r="S85" s="874"/>
      <c r="T85" s="874"/>
      <c r="U85" s="874"/>
      <c r="V85" s="874"/>
      <c r="W85" s="874"/>
      <c r="X85" s="874"/>
      <c r="Y85" s="874"/>
      <c r="Z85" s="874"/>
      <c r="AA85" s="874"/>
    </row>
    <row r="86" spans="1:27" x14ac:dyDescent="0.25">
      <c r="A86" s="851"/>
      <c r="B86" s="110">
        <v>14</v>
      </c>
      <c r="C86" s="45" t="s">
        <v>15</v>
      </c>
      <c r="D86" s="554" t="str">
        <f>'Tiên lượng'!D27</f>
        <v>Rải giấy ni long lớp cách ly</v>
      </c>
      <c r="E86" s="110" t="str">
        <f>'Tiên lượng'!E27</f>
        <v>100m2</v>
      </c>
      <c r="F86" s="88">
        <f>'Tiên lượng'!M27</f>
        <v>18.594999999999999</v>
      </c>
      <c r="G86" s="26">
        <v>0</v>
      </c>
      <c r="H86" s="26">
        <v>0</v>
      </c>
      <c r="I86" s="26">
        <v>0</v>
      </c>
      <c r="J86" s="732">
        <v>0</v>
      </c>
      <c r="K86" s="732">
        <v>0</v>
      </c>
      <c r="L86" s="732">
        <v>0</v>
      </c>
      <c r="M86" s="818">
        <v>0</v>
      </c>
      <c r="N86" s="818">
        <v>0</v>
      </c>
      <c r="O86" s="818">
        <v>0</v>
      </c>
      <c r="P86" s="818">
        <v>0</v>
      </c>
      <c r="Q86" s="818">
        <v>0</v>
      </c>
      <c r="R86" s="155">
        <v>0</v>
      </c>
      <c r="S86" s="874"/>
      <c r="T86" s="874"/>
      <c r="U86" s="874"/>
      <c r="V86" s="874"/>
      <c r="W86" s="874"/>
      <c r="X86" s="874"/>
      <c r="Y86" s="874"/>
      <c r="Z86" s="874"/>
      <c r="AA86" s="874"/>
    </row>
    <row r="87" spans="1:27" x14ac:dyDescent="0.25">
      <c r="A87" s="849"/>
      <c r="B87" s="198">
        <v>0</v>
      </c>
      <c r="C87" s="121" t="s">
        <v>479</v>
      </c>
      <c r="D87" s="644" t="s">
        <v>1372</v>
      </c>
      <c r="E87" s="198"/>
      <c r="F87" s="182">
        <v>0</v>
      </c>
      <c r="G87" s="114">
        <v>0</v>
      </c>
      <c r="H87" s="114"/>
      <c r="I87" s="114">
        <v>0</v>
      </c>
      <c r="J87" s="430">
        <v>0</v>
      </c>
      <c r="K87" s="430">
        <f>SUM(K88:K89)</f>
        <v>440880</v>
      </c>
      <c r="L87" s="430">
        <v>0</v>
      </c>
      <c r="M87" s="537">
        <f>SUM(M88:M89)</f>
        <v>440880</v>
      </c>
      <c r="N87" s="537">
        <v>0</v>
      </c>
      <c r="O87" s="537">
        <v>0</v>
      </c>
      <c r="P87" s="537">
        <v>0</v>
      </c>
      <c r="Q87" s="537">
        <f>SUM(Q88:Q89)</f>
        <v>440880</v>
      </c>
      <c r="R87" s="448">
        <v>0</v>
      </c>
      <c r="S87" s="874"/>
      <c r="T87" s="874"/>
      <c r="U87" s="874"/>
      <c r="V87" s="874"/>
      <c r="W87" s="874"/>
      <c r="X87" s="874"/>
      <c r="Y87" s="874"/>
      <c r="Z87" s="874"/>
      <c r="AA87" s="874"/>
    </row>
    <row r="88" spans="1:27" x14ac:dyDescent="0.25">
      <c r="A88" s="259"/>
      <c r="B88" s="405">
        <v>0</v>
      </c>
      <c r="C88" s="339" t="s">
        <v>1285</v>
      </c>
      <c r="D88" s="828" t="str">
        <f>" - " &amp; 'Giá VL'!E11</f>
        <v xml:space="preserve"> - Giấy nilong</v>
      </c>
      <c r="E88" s="405" t="str">
        <f>'Giá VL'!F11</f>
        <v>m2</v>
      </c>
      <c r="F88" s="393">
        <v>0</v>
      </c>
      <c r="G88" s="336">
        <v>110</v>
      </c>
      <c r="H88" s="336">
        <f>'Tiên lượng'!V27</f>
        <v>1</v>
      </c>
      <c r="I88" s="336">
        <f>PRODUCT(F86, G88, H88)</f>
        <v>2045.4499999999998</v>
      </c>
      <c r="J88" s="659">
        <f>'Giá VL'!G11</f>
        <v>4000</v>
      </c>
      <c r="K88" s="659">
        <f t="shared" ref="K88:K89" si="12">PRODUCT(G88, H88, J88)</f>
        <v>440000</v>
      </c>
      <c r="L88" s="659">
        <f>'Giá VL'!J11</f>
        <v>4000</v>
      </c>
      <c r="M88" s="745">
        <f t="shared" ref="M88:M89" si="13">PRODUCT(G88, H88, L88)</f>
        <v>440000</v>
      </c>
      <c r="N88" s="745">
        <v>0</v>
      </c>
      <c r="O88" s="745">
        <v>0</v>
      </c>
      <c r="P88" s="745">
        <f>'Giá VL'!V11</f>
        <v>4000</v>
      </c>
      <c r="Q88" s="745">
        <f t="shared" ref="Q88:Q89" si="14">PRODUCT(G88, H88, P88)</f>
        <v>440000</v>
      </c>
      <c r="R88" s="448">
        <v>0.2</v>
      </c>
      <c r="S88" s="874"/>
      <c r="T88" s="874"/>
      <c r="U88" s="874"/>
      <c r="V88" s="874"/>
      <c r="W88" s="874"/>
      <c r="X88" s="874"/>
      <c r="Y88" s="874"/>
      <c r="Z88" s="874"/>
      <c r="AA88" s="874"/>
    </row>
    <row r="89" spans="1:27" x14ac:dyDescent="0.25">
      <c r="A89" s="259"/>
      <c r="B89" s="405">
        <v>0</v>
      </c>
      <c r="C89" s="339" t="s">
        <v>429</v>
      </c>
      <c r="D89" s="828" t="s">
        <v>987</v>
      </c>
      <c r="E89" s="405" t="s">
        <v>1086</v>
      </c>
      <c r="F89" s="393">
        <v>0</v>
      </c>
      <c r="G89" s="336">
        <f>AVERAGE(R88:R88)</f>
        <v>0.2</v>
      </c>
      <c r="H89" s="336">
        <f>'Tiên lượng'!V27</f>
        <v>1</v>
      </c>
      <c r="I89" s="336">
        <f>PRODUCT(F86, G89, H89)</f>
        <v>3.7189999999999999</v>
      </c>
      <c r="J89" s="659">
        <f>(G88*J88)/100</f>
        <v>4400</v>
      </c>
      <c r="K89" s="659">
        <f t="shared" si="12"/>
        <v>880</v>
      </c>
      <c r="L89" s="659">
        <f>(G88*L88)/100</f>
        <v>4400</v>
      </c>
      <c r="M89" s="745">
        <f t="shared" si="13"/>
        <v>880</v>
      </c>
      <c r="N89" s="745">
        <v>0</v>
      </c>
      <c r="O89" s="745">
        <v>0</v>
      </c>
      <c r="P89" s="745">
        <f>(G88*P88)/100</f>
        <v>4400</v>
      </c>
      <c r="Q89" s="745">
        <f t="shared" si="14"/>
        <v>880</v>
      </c>
      <c r="R89" s="448">
        <v>0</v>
      </c>
      <c r="S89" s="874"/>
      <c r="T89" s="874"/>
      <c r="U89" s="874"/>
      <c r="V89" s="874"/>
      <c r="W89" s="874"/>
      <c r="X89" s="874"/>
      <c r="Y89" s="874"/>
      <c r="Z89" s="874"/>
      <c r="AA89" s="874"/>
    </row>
    <row r="90" spans="1:27" x14ac:dyDescent="0.25">
      <c r="A90" s="849"/>
      <c r="B90" s="198">
        <v>0</v>
      </c>
      <c r="C90" s="121" t="s">
        <v>125</v>
      </c>
      <c r="D90" s="644" t="s">
        <v>890</v>
      </c>
      <c r="E90" s="198"/>
      <c r="F90" s="182">
        <v>0</v>
      </c>
      <c r="G90" s="114">
        <v>0</v>
      </c>
      <c r="H90" s="114"/>
      <c r="I90" s="114">
        <v>0</v>
      </c>
      <c r="J90" s="430">
        <v>0</v>
      </c>
      <c r="K90" s="430">
        <f>SUM(K91:K91)</f>
        <v>40500</v>
      </c>
      <c r="L90" s="430">
        <v>0</v>
      </c>
      <c r="M90" s="537">
        <f>SUM(M91:M91)</f>
        <v>40500</v>
      </c>
      <c r="N90" s="537">
        <v>0</v>
      </c>
      <c r="O90" s="537">
        <v>0</v>
      </c>
      <c r="P90" s="537">
        <v>0</v>
      </c>
      <c r="Q90" s="537">
        <f>SUM(Q91:Q91)</f>
        <v>40500</v>
      </c>
      <c r="R90" s="448">
        <v>0</v>
      </c>
      <c r="S90" s="874"/>
      <c r="T90" s="874"/>
      <c r="U90" s="874"/>
      <c r="V90" s="874"/>
      <c r="W90" s="874"/>
      <c r="X90" s="874"/>
      <c r="Y90" s="874"/>
      <c r="Z90" s="874"/>
      <c r="AA90" s="874"/>
    </row>
    <row r="91" spans="1:27" x14ac:dyDescent="0.25">
      <c r="A91" s="801"/>
      <c r="B91" s="47">
        <v>0</v>
      </c>
      <c r="C91" s="359" t="s">
        <v>1055</v>
      </c>
      <c r="D91" s="485" t="str">
        <f>" - " &amp; 'Giá NC'!E7</f>
        <v xml:space="preserve"> - Nhân công bậc 3,5/7 - Nhóm 2</v>
      </c>
      <c r="E91" s="47" t="str">
        <f>'Giá NC'!F7</f>
        <v>công</v>
      </c>
      <c r="F91" s="28">
        <v>0</v>
      </c>
      <c r="G91" s="866">
        <v>0.15</v>
      </c>
      <c r="H91" s="866">
        <f>'Tiên lượng'!W27</f>
        <v>1</v>
      </c>
      <c r="I91" s="866">
        <f>PRODUCT(F86, G91, H91)</f>
        <v>2.7892499999999996</v>
      </c>
      <c r="J91" s="676">
        <f>'Giá NC'!G7</f>
        <v>270000</v>
      </c>
      <c r="K91" s="676">
        <f>PRODUCT(G91, H91, J91)</f>
        <v>40500</v>
      </c>
      <c r="L91" s="676">
        <f>'Giá NC'!H7</f>
        <v>270000</v>
      </c>
      <c r="M91" s="767">
        <f>PRODUCT(G91, H91, L91)</f>
        <v>40500</v>
      </c>
      <c r="N91" s="767">
        <v>0</v>
      </c>
      <c r="O91" s="767">
        <v>0</v>
      </c>
      <c r="P91" s="767">
        <f>'Giá NC'!K7</f>
        <v>270000</v>
      </c>
      <c r="Q91" s="767">
        <f>PRODUCT(G91, H91, P91)</f>
        <v>40500</v>
      </c>
      <c r="R91" s="82">
        <v>0</v>
      </c>
      <c r="S91" s="874"/>
      <c r="T91" s="874"/>
      <c r="U91" s="874"/>
      <c r="V91" s="874"/>
      <c r="W91" s="874"/>
      <c r="X91" s="874"/>
      <c r="Y91" s="874"/>
      <c r="Z91" s="874"/>
      <c r="AA91" s="874"/>
    </row>
    <row r="92" spans="1:27" x14ac:dyDescent="0.25">
      <c r="A92" s="851"/>
      <c r="B92" s="110">
        <v>15</v>
      </c>
      <c r="C92" s="45" t="s">
        <v>772</v>
      </c>
      <c r="D92" s="554" t="str">
        <f>'Tiên lượng'!D30</f>
        <v>Ván khuôn thép mặt đường bê tông</v>
      </c>
      <c r="E92" s="110" t="str">
        <f>'Tiên lượng'!E30</f>
        <v>100m2</v>
      </c>
      <c r="F92" s="88">
        <f>'Tiên lượng'!M30</f>
        <v>2.0680000000000001</v>
      </c>
      <c r="G92" s="26">
        <v>0</v>
      </c>
      <c r="H92" s="26">
        <v>0</v>
      </c>
      <c r="I92" s="26">
        <v>0</v>
      </c>
      <c r="J92" s="732">
        <v>0</v>
      </c>
      <c r="K92" s="732">
        <v>0</v>
      </c>
      <c r="L92" s="732">
        <v>0</v>
      </c>
      <c r="M92" s="818">
        <v>0</v>
      </c>
      <c r="N92" s="818">
        <v>0</v>
      </c>
      <c r="O92" s="818">
        <v>0</v>
      </c>
      <c r="P92" s="818">
        <v>0</v>
      </c>
      <c r="Q92" s="818">
        <v>0</v>
      </c>
      <c r="R92" s="155">
        <v>0</v>
      </c>
      <c r="S92" s="874"/>
      <c r="T92" s="874"/>
      <c r="U92" s="874"/>
      <c r="V92" s="874"/>
      <c r="W92" s="874"/>
      <c r="X92" s="874"/>
      <c r="Y92" s="874"/>
      <c r="Z92" s="874"/>
      <c r="AA92" s="874"/>
    </row>
    <row r="93" spans="1:27" x14ac:dyDescent="0.25">
      <c r="A93" s="849"/>
      <c r="B93" s="198">
        <v>0</v>
      </c>
      <c r="C93" s="121" t="s">
        <v>479</v>
      </c>
      <c r="D93" s="644" t="s">
        <v>1372</v>
      </c>
      <c r="E93" s="198"/>
      <c r="F93" s="182">
        <v>0</v>
      </c>
      <c r="G93" s="114">
        <v>0</v>
      </c>
      <c r="H93" s="114"/>
      <c r="I93" s="114">
        <v>0</v>
      </c>
      <c r="J93" s="430">
        <v>0</v>
      </c>
      <c r="K93" s="430">
        <f>SUM(K94:K96)</f>
        <v>579768</v>
      </c>
      <c r="L93" s="430">
        <v>0</v>
      </c>
      <c r="M93" s="537">
        <f>SUM(M94:M96)</f>
        <v>579768</v>
      </c>
      <c r="N93" s="537">
        <v>0</v>
      </c>
      <c r="O93" s="537">
        <v>0</v>
      </c>
      <c r="P93" s="537">
        <v>0</v>
      </c>
      <c r="Q93" s="537">
        <f>SUM(Q94:Q96)</f>
        <v>582442.17038946901</v>
      </c>
      <c r="R93" s="448">
        <v>0</v>
      </c>
      <c r="S93" s="874"/>
      <c r="T93" s="874"/>
      <c r="U93" s="874"/>
      <c r="V93" s="874"/>
      <c r="W93" s="874"/>
      <c r="X93" s="874"/>
      <c r="Y93" s="874"/>
      <c r="Z93" s="874"/>
      <c r="AA93" s="874"/>
    </row>
    <row r="94" spans="1:27" x14ac:dyDescent="0.25">
      <c r="A94" s="259"/>
      <c r="B94" s="405">
        <v>0</v>
      </c>
      <c r="C94" s="339" t="s">
        <v>379</v>
      </c>
      <c r="D94" s="828" t="str">
        <f>" - " &amp; 'Giá VL'!E18</f>
        <v xml:space="preserve"> - Thép hình, thép tấm</v>
      </c>
      <c r="E94" s="405" t="str">
        <f>'Giá VL'!F18</f>
        <v>kg</v>
      </c>
      <c r="F94" s="393">
        <v>0</v>
      </c>
      <c r="G94" s="336">
        <v>31.5</v>
      </c>
      <c r="H94" s="336">
        <f>'Tiên lượng'!V30</f>
        <v>1</v>
      </c>
      <c r="I94" s="336">
        <f>PRODUCT(F92, G94, H94)</f>
        <v>65.141999999999996</v>
      </c>
      <c r="J94" s="659">
        <f>'Giá VL'!G18</f>
        <v>16300</v>
      </c>
      <c r="K94" s="659">
        <f t="shared" ref="K94:K96" si="15">PRODUCT(G94, H94, J94)</f>
        <v>513450</v>
      </c>
      <c r="L94" s="659">
        <f>'Giá VL'!J18</f>
        <v>16300</v>
      </c>
      <c r="M94" s="745">
        <f t="shared" ref="M94:M96" si="16">PRODUCT(G94, H94, L94)</f>
        <v>513450</v>
      </c>
      <c r="N94" s="745">
        <v>0</v>
      </c>
      <c r="O94" s="745">
        <v>0</v>
      </c>
      <c r="P94" s="745">
        <f>'Giá VL'!V18</f>
        <v>16380.8517124556</v>
      </c>
      <c r="Q94" s="745">
        <f t="shared" ref="Q94:Q96" si="17">PRODUCT(G94, H94, P94)</f>
        <v>515996.82894235139</v>
      </c>
      <c r="R94" s="448">
        <v>5</v>
      </c>
      <c r="S94" s="874"/>
      <c r="T94" s="874"/>
      <c r="U94" s="874"/>
      <c r="V94" s="874"/>
      <c r="W94" s="874"/>
      <c r="X94" s="874"/>
      <c r="Y94" s="874"/>
      <c r="Z94" s="874"/>
      <c r="AA94" s="874"/>
    </row>
    <row r="95" spans="1:27" x14ac:dyDescent="0.25">
      <c r="A95" s="259"/>
      <c r="B95" s="405">
        <v>0</v>
      </c>
      <c r="C95" s="339" t="s">
        <v>218</v>
      </c>
      <c r="D95" s="828" t="str">
        <f>" - " &amp; 'Giá VL'!E17</f>
        <v xml:space="preserve"> - Que hàn</v>
      </c>
      <c r="E95" s="405" t="str">
        <f>'Giá VL'!F17</f>
        <v>kg</v>
      </c>
      <c r="F95" s="393">
        <v>0</v>
      </c>
      <c r="G95" s="336">
        <v>1.58</v>
      </c>
      <c r="H95" s="336">
        <f>'Tiên lượng'!V30</f>
        <v>1</v>
      </c>
      <c r="I95" s="336">
        <f>PRODUCT(F92, G95, H95)</f>
        <v>3.2674400000000001</v>
      </c>
      <c r="J95" s="659">
        <f>'Giá VL'!G17</f>
        <v>24500</v>
      </c>
      <c r="K95" s="659">
        <f t="shared" si="15"/>
        <v>38710</v>
      </c>
      <c r="L95" s="659">
        <f>'Giá VL'!J17</f>
        <v>24500</v>
      </c>
      <c r="M95" s="745">
        <f t="shared" si="16"/>
        <v>38710</v>
      </c>
      <c r="N95" s="745">
        <v>0</v>
      </c>
      <c r="O95" s="745">
        <v>0</v>
      </c>
      <c r="P95" s="745">
        <f>'Giá VL'!V17</f>
        <v>24500</v>
      </c>
      <c r="Q95" s="745">
        <f t="shared" si="17"/>
        <v>38710</v>
      </c>
      <c r="R95" s="448">
        <v>5</v>
      </c>
      <c r="S95" s="874"/>
      <c r="T95" s="874"/>
      <c r="U95" s="874"/>
      <c r="V95" s="874"/>
      <c r="W95" s="874"/>
      <c r="X95" s="874"/>
      <c r="Y95" s="874"/>
      <c r="Z95" s="874"/>
      <c r="AA95" s="874"/>
    </row>
    <row r="96" spans="1:27" x14ac:dyDescent="0.25">
      <c r="A96" s="259"/>
      <c r="B96" s="405">
        <v>0</v>
      </c>
      <c r="C96" s="339" t="s">
        <v>429</v>
      </c>
      <c r="D96" s="828" t="s">
        <v>987</v>
      </c>
      <c r="E96" s="405" t="s">
        <v>1086</v>
      </c>
      <c r="F96" s="393">
        <v>0</v>
      </c>
      <c r="G96" s="336">
        <f>AVERAGE(R94:R95)</f>
        <v>5</v>
      </c>
      <c r="H96" s="336">
        <f>'Tiên lượng'!V30</f>
        <v>1</v>
      </c>
      <c r="I96" s="336">
        <f>PRODUCT(F92, G96, H96)</f>
        <v>10.34</v>
      </c>
      <c r="J96" s="659">
        <f>(G94*J94+G95*J95)/100</f>
        <v>5521.6</v>
      </c>
      <c r="K96" s="659">
        <f t="shared" si="15"/>
        <v>27608</v>
      </c>
      <c r="L96" s="659">
        <f>(G94*L94+G95*L95)/100</f>
        <v>5521.6</v>
      </c>
      <c r="M96" s="745">
        <f t="shared" si="16"/>
        <v>27608</v>
      </c>
      <c r="N96" s="745">
        <v>0</v>
      </c>
      <c r="O96" s="745">
        <v>0</v>
      </c>
      <c r="P96" s="745">
        <f>(G94*P94+G95*P95)/100</f>
        <v>5547.0682894235142</v>
      </c>
      <c r="Q96" s="745">
        <f t="shared" si="17"/>
        <v>27735.341447117571</v>
      </c>
      <c r="R96" s="448">
        <v>0</v>
      </c>
      <c r="S96" s="874"/>
      <c r="T96" s="874"/>
      <c r="U96" s="874"/>
      <c r="V96" s="874"/>
      <c r="W96" s="874"/>
      <c r="X96" s="874"/>
      <c r="Y96" s="874"/>
      <c r="Z96" s="874"/>
      <c r="AA96" s="874"/>
    </row>
    <row r="97" spans="1:27" x14ac:dyDescent="0.25">
      <c r="A97" s="849"/>
      <c r="B97" s="198">
        <v>0</v>
      </c>
      <c r="C97" s="121" t="s">
        <v>125</v>
      </c>
      <c r="D97" s="644" t="s">
        <v>890</v>
      </c>
      <c r="E97" s="198"/>
      <c r="F97" s="182">
        <v>0</v>
      </c>
      <c r="G97" s="114">
        <v>0</v>
      </c>
      <c r="H97" s="114"/>
      <c r="I97" s="114">
        <v>0</v>
      </c>
      <c r="J97" s="430">
        <v>0</v>
      </c>
      <c r="K97" s="430">
        <f>SUM(K98:K98)</f>
        <v>3370558</v>
      </c>
      <c r="L97" s="430">
        <v>0</v>
      </c>
      <c r="M97" s="537">
        <f>SUM(M98:M98)</f>
        <v>3370558</v>
      </c>
      <c r="N97" s="537">
        <v>0</v>
      </c>
      <c r="O97" s="537">
        <v>0</v>
      </c>
      <c r="P97" s="537">
        <v>0</v>
      </c>
      <c r="Q97" s="537">
        <f>SUM(Q98:Q98)</f>
        <v>3370558</v>
      </c>
      <c r="R97" s="448">
        <v>0</v>
      </c>
      <c r="S97" s="874"/>
      <c r="T97" s="874"/>
      <c r="U97" s="874"/>
      <c r="V97" s="874"/>
      <c r="W97" s="874"/>
      <c r="X97" s="874"/>
      <c r="Y97" s="874"/>
      <c r="Z97" s="874"/>
      <c r="AA97" s="874"/>
    </row>
    <row r="98" spans="1:27" x14ac:dyDescent="0.25">
      <c r="A98" s="259"/>
      <c r="B98" s="405">
        <v>0</v>
      </c>
      <c r="C98" s="339" t="s">
        <v>1295</v>
      </c>
      <c r="D98" s="828" t="str">
        <f>" - " &amp; 'Giá NC'!E8</f>
        <v xml:space="preserve"> - Nhân công bậc 4,0/7 - Nhóm 2</v>
      </c>
      <c r="E98" s="405" t="str">
        <f>'Giá NC'!F8</f>
        <v>công</v>
      </c>
      <c r="F98" s="393">
        <v>0</v>
      </c>
      <c r="G98" s="336">
        <v>11.5</v>
      </c>
      <c r="H98" s="336">
        <f>'Tiên lượng'!W30</f>
        <v>1</v>
      </c>
      <c r="I98" s="336">
        <f>PRODUCT(F92, G98, H98)</f>
        <v>23.782</v>
      </c>
      <c r="J98" s="659">
        <f>'Giá NC'!G8</f>
        <v>293092</v>
      </c>
      <c r="K98" s="659">
        <f>PRODUCT(G98, H98, J98)</f>
        <v>3370558</v>
      </c>
      <c r="L98" s="659">
        <f>'Giá NC'!H8</f>
        <v>293092</v>
      </c>
      <c r="M98" s="745">
        <f>PRODUCT(G98, H98, L98)</f>
        <v>3370558</v>
      </c>
      <c r="N98" s="745">
        <v>0</v>
      </c>
      <c r="O98" s="745">
        <v>0</v>
      </c>
      <c r="P98" s="745">
        <f>'Giá NC'!K8</f>
        <v>293092</v>
      </c>
      <c r="Q98" s="745">
        <f>PRODUCT(G98, H98, P98)</f>
        <v>3370558</v>
      </c>
      <c r="R98" s="448">
        <v>0</v>
      </c>
      <c r="S98" s="874"/>
      <c r="T98" s="874"/>
      <c r="U98" s="874"/>
      <c r="V98" s="874"/>
      <c r="W98" s="874"/>
      <c r="X98" s="874"/>
      <c r="Y98" s="874"/>
      <c r="Z98" s="874"/>
      <c r="AA98" s="874"/>
    </row>
    <row r="99" spans="1:27" x14ac:dyDescent="0.25">
      <c r="A99" s="849"/>
      <c r="B99" s="198">
        <v>0</v>
      </c>
      <c r="C99" s="121" t="s">
        <v>539</v>
      </c>
      <c r="D99" s="644" t="s">
        <v>556</v>
      </c>
      <c r="E99" s="198"/>
      <c r="F99" s="182">
        <v>0</v>
      </c>
      <c r="G99" s="114">
        <v>0</v>
      </c>
      <c r="H99" s="114"/>
      <c r="I99" s="114">
        <v>0</v>
      </c>
      <c r="J99" s="430">
        <v>0</v>
      </c>
      <c r="K99" s="430">
        <f>SUM(K100:K101)</f>
        <v>182920.80239999999</v>
      </c>
      <c r="L99" s="430">
        <v>0</v>
      </c>
      <c r="M99" s="537">
        <f>SUM(M100:M101)</f>
        <v>182920.80239999999</v>
      </c>
      <c r="N99" s="537">
        <v>0</v>
      </c>
      <c r="O99" s="537">
        <v>0</v>
      </c>
      <c r="P99" s="537">
        <v>0</v>
      </c>
      <c r="Q99" s="537">
        <f>SUM(Q100:Q101)</f>
        <v>182920.80239999999</v>
      </c>
      <c r="R99" s="448">
        <v>0</v>
      </c>
      <c r="S99" s="874"/>
      <c r="T99" s="874"/>
      <c r="U99" s="874"/>
      <c r="V99" s="874"/>
      <c r="W99" s="874"/>
      <c r="X99" s="874"/>
      <c r="Y99" s="874"/>
      <c r="Z99" s="874"/>
      <c r="AA99" s="874"/>
    </row>
    <row r="100" spans="1:27" x14ac:dyDescent="0.25">
      <c r="A100" s="259"/>
      <c r="B100" s="405">
        <v>0</v>
      </c>
      <c r="C100" s="339" t="s">
        <v>1203</v>
      </c>
      <c r="D100" s="828" t="str">
        <f>" - " &amp; 'Giá Máy'!E13</f>
        <v xml:space="preserve"> - Máy hàn điện 23kW</v>
      </c>
      <c r="E100" s="405" t="str">
        <f>'Giá Máy'!F13</f>
        <v>ca</v>
      </c>
      <c r="F100" s="393">
        <v>0</v>
      </c>
      <c r="G100" s="336">
        <v>0.42</v>
      </c>
      <c r="H100" s="336">
        <f>'Tiên lượng'!X30</f>
        <v>1</v>
      </c>
      <c r="I100" s="336">
        <f>PRODUCT(F92, G100, H100)</f>
        <v>0.86856</v>
      </c>
      <c r="J100" s="659">
        <f>'Giá Máy'!G13</f>
        <v>426986</v>
      </c>
      <c r="K100" s="659">
        <f t="shared" ref="K100:K101" si="18">PRODUCT(G100, H100, J100)</f>
        <v>179334.12</v>
      </c>
      <c r="L100" s="659">
        <f>'Giá Máy'!H13</f>
        <v>426986</v>
      </c>
      <c r="M100" s="745">
        <f t="shared" ref="M100:M101" si="19">PRODUCT(G100, H100, L100)</f>
        <v>179334.12</v>
      </c>
      <c r="N100" s="745">
        <v>0</v>
      </c>
      <c r="O100" s="745">
        <v>0</v>
      </c>
      <c r="P100" s="745">
        <f>'Giá Máy'!O13</f>
        <v>426986</v>
      </c>
      <c r="Q100" s="745">
        <f t="shared" ref="Q100:Q101" si="20">PRODUCT(G100, H100, P100)</f>
        <v>179334.12</v>
      </c>
      <c r="R100" s="448">
        <v>2</v>
      </c>
      <c r="S100" s="874"/>
      <c r="T100" s="874"/>
      <c r="U100" s="874"/>
      <c r="V100" s="874"/>
      <c r="W100" s="874"/>
      <c r="X100" s="874"/>
      <c r="Y100" s="874"/>
      <c r="Z100" s="874"/>
      <c r="AA100" s="874"/>
    </row>
    <row r="101" spans="1:27" x14ac:dyDescent="0.25">
      <c r="A101" s="801"/>
      <c r="B101" s="47">
        <v>0</v>
      </c>
      <c r="C101" s="359" t="s">
        <v>760</v>
      </c>
      <c r="D101" s="485" t="s">
        <v>830</v>
      </c>
      <c r="E101" s="47" t="s">
        <v>1086</v>
      </c>
      <c r="F101" s="28">
        <v>0</v>
      </c>
      <c r="G101" s="866">
        <f>AVERAGE(R100:R100)</f>
        <v>2</v>
      </c>
      <c r="H101" s="866">
        <f>'Tiên lượng'!X30</f>
        <v>1</v>
      </c>
      <c r="I101" s="866">
        <f>PRODUCT(F92, G101, H101)</f>
        <v>4.1360000000000001</v>
      </c>
      <c r="J101" s="676">
        <f>(G100*J100)/100</f>
        <v>1793.3411999999998</v>
      </c>
      <c r="K101" s="676">
        <f t="shared" si="18"/>
        <v>3586.6823999999997</v>
      </c>
      <c r="L101" s="676">
        <f>(G100*L100)/100</f>
        <v>1793.3411999999998</v>
      </c>
      <c r="M101" s="767">
        <f t="shared" si="19"/>
        <v>3586.6823999999997</v>
      </c>
      <c r="N101" s="767">
        <v>0</v>
      </c>
      <c r="O101" s="767">
        <v>0</v>
      </c>
      <c r="P101" s="767">
        <f>(G100*P100)/100</f>
        <v>1793.3411999999998</v>
      </c>
      <c r="Q101" s="767">
        <f t="shared" si="20"/>
        <v>3586.6823999999997</v>
      </c>
      <c r="R101" s="82">
        <v>0</v>
      </c>
      <c r="S101" s="874"/>
      <c r="T101" s="874"/>
      <c r="U101" s="874"/>
      <c r="V101" s="874"/>
      <c r="W101" s="874"/>
      <c r="X101" s="874"/>
      <c r="Y101" s="874"/>
      <c r="Z101" s="874"/>
      <c r="AA101" s="874"/>
    </row>
    <row r="102" spans="1:27" ht="45" x14ac:dyDescent="0.25">
      <c r="A102" s="851"/>
      <c r="B102" s="110">
        <v>16</v>
      </c>
      <c r="C102" s="45" t="s">
        <v>1127</v>
      </c>
      <c r="D102" s="554" t="str">
        <f>'Tiên lượng'!D32</f>
        <v>Bê tông sản xuất bằng máy trộn và đổ bằng thủ công, bê tông mặt đường dày mặt đường ≤25cm, bê tông M250, đá 2x4, PCB30</v>
      </c>
      <c r="E102" s="110" t="str">
        <f>'Tiên lượng'!E32</f>
        <v>m3</v>
      </c>
      <c r="F102" s="88">
        <f>'Tiên lượng'!M32</f>
        <v>371.90000000000003</v>
      </c>
      <c r="G102" s="26">
        <v>0</v>
      </c>
      <c r="H102" s="26">
        <v>0</v>
      </c>
      <c r="I102" s="26">
        <v>0</v>
      </c>
      <c r="J102" s="732">
        <v>0</v>
      </c>
      <c r="K102" s="732">
        <v>0</v>
      </c>
      <c r="L102" s="732">
        <v>0</v>
      </c>
      <c r="M102" s="818">
        <v>0</v>
      </c>
      <c r="N102" s="818">
        <v>0</v>
      </c>
      <c r="O102" s="818">
        <v>0</v>
      </c>
      <c r="P102" s="818">
        <v>0</v>
      </c>
      <c r="Q102" s="818">
        <v>0</v>
      </c>
      <c r="R102" s="155">
        <v>0</v>
      </c>
      <c r="S102" s="874"/>
      <c r="T102" s="874"/>
      <c r="U102" s="874"/>
      <c r="V102" s="874"/>
      <c r="W102" s="874"/>
      <c r="X102" s="874"/>
      <c r="Y102" s="874"/>
      <c r="Z102" s="874"/>
      <c r="AA102" s="874"/>
    </row>
    <row r="103" spans="1:27" x14ac:dyDescent="0.25">
      <c r="A103" s="849"/>
      <c r="B103" s="198">
        <v>0</v>
      </c>
      <c r="C103" s="121" t="s">
        <v>479</v>
      </c>
      <c r="D103" s="644" t="s">
        <v>1372</v>
      </c>
      <c r="E103" s="198"/>
      <c r="F103" s="182">
        <v>0</v>
      </c>
      <c r="G103" s="114">
        <v>0</v>
      </c>
      <c r="H103" s="114"/>
      <c r="I103" s="114">
        <v>0</v>
      </c>
      <c r="J103" s="430">
        <v>0</v>
      </c>
      <c r="K103" s="430">
        <f>SUM(K104:K110)</f>
        <v>954474.91562500002</v>
      </c>
      <c r="L103" s="430">
        <v>0</v>
      </c>
      <c r="M103" s="537">
        <f>SUM(M104:M110)</f>
        <v>1308809.8931249999</v>
      </c>
      <c r="N103" s="537">
        <v>0</v>
      </c>
      <c r="O103" s="537">
        <v>0</v>
      </c>
      <c r="P103" s="537">
        <v>0</v>
      </c>
      <c r="Q103" s="537">
        <f>SUM(Q104:Q110)</f>
        <v>1566233.024253645</v>
      </c>
      <c r="R103" s="448">
        <v>0</v>
      </c>
      <c r="S103" s="874"/>
      <c r="T103" s="874"/>
      <c r="U103" s="874"/>
      <c r="V103" s="874"/>
      <c r="W103" s="874"/>
      <c r="X103" s="874"/>
      <c r="Y103" s="874"/>
      <c r="Z103" s="874"/>
      <c r="AA103" s="874"/>
    </row>
    <row r="104" spans="1:27" x14ac:dyDescent="0.25">
      <c r="A104" s="259"/>
      <c r="B104" s="405">
        <v>0</v>
      </c>
      <c r="C104" s="339" t="s">
        <v>762</v>
      </c>
      <c r="D104" s="828" t="str">
        <f>" - " &amp; 'Giá VL'!E19</f>
        <v xml:space="preserve"> - Xi măng PCB30</v>
      </c>
      <c r="E104" s="405" t="str">
        <f>'Giá VL'!F19</f>
        <v>kg</v>
      </c>
      <c r="F104" s="393">
        <v>0</v>
      </c>
      <c r="G104" s="336">
        <v>348.5</v>
      </c>
      <c r="H104" s="336">
        <f>'Tiên lượng'!V32</f>
        <v>1</v>
      </c>
      <c r="I104" s="336">
        <f>PRODUCT(F102, G104, H104)</f>
        <v>129607.15000000001</v>
      </c>
      <c r="J104" s="659">
        <f>'Giá VL'!G19</f>
        <v>1330</v>
      </c>
      <c r="K104" s="659">
        <f t="shared" ref="K104:K110" si="21">PRODUCT(G104, H104, J104)</f>
        <v>463505</v>
      </c>
      <c r="L104" s="659">
        <f>'Giá VL'!J19</f>
        <v>1550</v>
      </c>
      <c r="M104" s="745">
        <f t="shared" ref="M104:M110" si="22">PRODUCT(G104, H104, L104)</f>
        <v>540175</v>
      </c>
      <c r="N104" s="745">
        <v>0</v>
      </c>
      <c r="O104" s="745">
        <v>0</v>
      </c>
      <c r="P104" s="745">
        <f>'Giá VL'!V19</f>
        <v>1705.1648223132001</v>
      </c>
      <c r="Q104" s="745">
        <f t="shared" ref="Q104:Q110" si="23">PRODUCT(G104, H104, P104)</f>
        <v>594249.9405761502</v>
      </c>
      <c r="R104" s="448">
        <v>1.5</v>
      </c>
      <c r="S104" s="874"/>
      <c r="T104" s="874"/>
      <c r="U104" s="874"/>
      <c r="V104" s="874"/>
      <c r="W104" s="874"/>
      <c r="X104" s="874"/>
      <c r="Y104" s="874"/>
      <c r="Z104" s="874"/>
      <c r="AA104" s="874"/>
    </row>
    <row r="105" spans="1:27" x14ac:dyDescent="0.25">
      <c r="A105" s="259"/>
      <c r="B105" s="405">
        <v>0</v>
      </c>
      <c r="C105" s="339" t="s">
        <v>95</v>
      </c>
      <c r="D105" s="828" t="str">
        <f>" - " &amp; 'Giá VL'!E9</f>
        <v xml:space="preserve"> - Cát vàng</v>
      </c>
      <c r="E105" s="405" t="str">
        <f>'Giá VL'!F9</f>
        <v>m3</v>
      </c>
      <c r="F105" s="393">
        <v>0</v>
      </c>
      <c r="G105" s="336">
        <v>0.52992499999999998</v>
      </c>
      <c r="H105" s="336">
        <f>'Tiên lượng'!V32</f>
        <v>1</v>
      </c>
      <c r="I105" s="336">
        <f>PRODUCT(F102, G105, H105)</f>
        <v>197.07910750000002</v>
      </c>
      <c r="J105" s="659">
        <f>'Giá VL'!G9</f>
        <v>560000</v>
      </c>
      <c r="K105" s="659">
        <f t="shared" si="21"/>
        <v>296758</v>
      </c>
      <c r="L105" s="659">
        <f>'Giá VL'!J9</f>
        <v>800000</v>
      </c>
      <c r="M105" s="745">
        <f t="shared" si="22"/>
        <v>423940</v>
      </c>
      <c r="N105" s="745">
        <v>0</v>
      </c>
      <c r="O105" s="745">
        <v>0</v>
      </c>
      <c r="P105" s="745">
        <f>'Giá VL'!V9</f>
        <v>938105.03993760003</v>
      </c>
      <c r="Q105" s="745">
        <f t="shared" si="23"/>
        <v>497125.31328893267</v>
      </c>
      <c r="R105" s="448">
        <v>1.5</v>
      </c>
      <c r="S105" s="874"/>
      <c r="T105" s="874"/>
      <c r="U105" s="874"/>
      <c r="V105" s="874"/>
      <c r="W105" s="874"/>
      <c r="X105" s="874"/>
      <c r="Y105" s="874"/>
      <c r="Z105" s="874"/>
      <c r="AA105" s="874"/>
    </row>
    <row r="106" spans="1:27" x14ac:dyDescent="0.25">
      <c r="A106" s="259"/>
      <c r="B106" s="405">
        <v>0</v>
      </c>
      <c r="C106" s="339" t="s">
        <v>193</v>
      </c>
      <c r="D106" s="828" t="str">
        <f>" - " &amp; 'Giá VL'!E10</f>
        <v xml:space="preserve"> - Đá 2x4</v>
      </c>
      <c r="E106" s="405" t="str">
        <f>'Giá VL'!F10</f>
        <v>m3</v>
      </c>
      <c r="F106" s="393">
        <v>0</v>
      </c>
      <c r="G106" s="336">
        <v>0.85997500000000004</v>
      </c>
      <c r="H106" s="336">
        <f>'Tiên lượng'!V32</f>
        <v>1</v>
      </c>
      <c r="I106" s="336">
        <f>PRODUCT(F102, G106, H106)</f>
        <v>319.82470250000006</v>
      </c>
      <c r="J106" s="659">
        <f>'Giá VL'!G10</f>
        <v>140000</v>
      </c>
      <c r="K106" s="659">
        <f t="shared" si="21"/>
        <v>120396.5</v>
      </c>
      <c r="L106" s="659">
        <f>'Giá VL'!J10</f>
        <v>280000</v>
      </c>
      <c r="M106" s="745">
        <f t="shared" si="22"/>
        <v>240793</v>
      </c>
      <c r="N106" s="745">
        <v>0</v>
      </c>
      <c r="O106" s="745">
        <v>0</v>
      </c>
      <c r="P106" s="745">
        <f>'Giá VL'!V10</f>
        <v>426476.16578799998</v>
      </c>
      <c r="Q106" s="745">
        <f t="shared" si="23"/>
        <v>366758.84067353531</v>
      </c>
      <c r="R106" s="448">
        <v>1.5</v>
      </c>
      <c r="S106" s="874"/>
      <c r="T106" s="874"/>
      <c r="U106" s="874"/>
      <c r="V106" s="874"/>
      <c r="W106" s="874"/>
      <c r="X106" s="874"/>
      <c r="Y106" s="874"/>
      <c r="Z106" s="874"/>
      <c r="AA106" s="874"/>
    </row>
    <row r="107" spans="1:27" x14ac:dyDescent="0.25">
      <c r="A107" s="259"/>
      <c r="B107" s="405">
        <v>0</v>
      </c>
      <c r="C107" s="339" t="s">
        <v>135</v>
      </c>
      <c r="D107" s="828" t="str">
        <f>" - " &amp; 'Giá VL'!E15</f>
        <v xml:space="preserve"> - Nước</v>
      </c>
      <c r="E107" s="405" t="str">
        <f>'Giá VL'!F15</f>
        <v>lít</v>
      </c>
      <c r="F107" s="393">
        <v>0</v>
      </c>
      <c r="G107" s="336">
        <v>177.32499999999999</v>
      </c>
      <c r="H107" s="336">
        <f>'Tiên lượng'!V32</f>
        <v>1</v>
      </c>
      <c r="I107" s="336">
        <f>PRODUCT(F102, G107, H107)</f>
        <v>65947.167499999996</v>
      </c>
      <c r="J107" s="659">
        <f>'Giá VL'!G15</f>
        <v>15</v>
      </c>
      <c r="K107" s="659">
        <f t="shared" si="21"/>
        <v>2659.875</v>
      </c>
      <c r="L107" s="659">
        <f>'Giá VL'!J15</f>
        <v>15</v>
      </c>
      <c r="M107" s="745">
        <f t="shared" si="22"/>
        <v>2659.875</v>
      </c>
      <c r="N107" s="745">
        <v>0</v>
      </c>
      <c r="O107" s="745">
        <v>0</v>
      </c>
      <c r="P107" s="745">
        <f>'Giá VL'!V15</f>
        <v>15</v>
      </c>
      <c r="Q107" s="745">
        <f t="shared" si="23"/>
        <v>2659.875</v>
      </c>
      <c r="R107" s="448">
        <v>1.5</v>
      </c>
      <c r="S107" s="874"/>
      <c r="T107" s="874"/>
      <c r="U107" s="874"/>
      <c r="V107" s="874"/>
      <c r="W107" s="874"/>
      <c r="X107" s="874"/>
      <c r="Y107" s="874"/>
      <c r="Z107" s="874"/>
      <c r="AA107" s="874"/>
    </row>
    <row r="108" spans="1:27" x14ac:dyDescent="0.25">
      <c r="A108" s="259"/>
      <c r="B108" s="405">
        <v>0</v>
      </c>
      <c r="C108" s="339" t="s">
        <v>491</v>
      </c>
      <c r="D108" s="828" t="str">
        <f>" - " &amp; 'Giá VL'!E12</f>
        <v xml:space="preserve"> - Gỗ làm khe co dãn</v>
      </c>
      <c r="E108" s="405" t="str">
        <f>'Giá VL'!F12</f>
        <v>m3</v>
      </c>
      <c r="F108" s="393">
        <v>0</v>
      </c>
      <c r="G108" s="336">
        <v>0</v>
      </c>
      <c r="H108" s="336">
        <f>'Tiên lượng'!V32</f>
        <v>1</v>
      </c>
      <c r="I108" s="336">
        <f>PRODUCT(F102, G108, H108)</f>
        <v>0</v>
      </c>
      <c r="J108" s="659">
        <f>'Giá VL'!G12</f>
        <v>1700000</v>
      </c>
      <c r="K108" s="659">
        <f t="shared" si="21"/>
        <v>0</v>
      </c>
      <c r="L108" s="659">
        <f>'Giá VL'!J12</f>
        <v>2800000</v>
      </c>
      <c r="M108" s="745">
        <f t="shared" si="22"/>
        <v>0</v>
      </c>
      <c r="N108" s="745">
        <v>0</v>
      </c>
      <c r="O108" s="745">
        <v>0</v>
      </c>
      <c r="P108" s="745">
        <f>'Giá VL'!V12</f>
        <v>2884202.0708116</v>
      </c>
      <c r="Q108" s="745">
        <f t="shared" si="23"/>
        <v>0</v>
      </c>
      <c r="R108" s="448">
        <v>1.5</v>
      </c>
      <c r="S108" s="874"/>
      <c r="T108" s="874"/>
      <c r="U108" s="874"/>
      <c r="V108" s="874"/>
      <c r="W108" s="874"/>
      <c r="X108" s="874"/>
      <c r="Y108" s="874"/>
      <c r="Z108" s="874"/>
      <c r="AA108" s="874"/>
    </row>
    <row r="109" spans="1:27" x14ac:dyDescent="0.25">
      <c r="A109" s="259"/>
      <c r="B109" s="405">
        <v>0</v>
      </c>
      <c r="C109" s="339" t="s">
        <v>138</v>
      </c>
      <c r="D109" s="828" t="str">
        <f>" - " &amp; 'Giá VL'!E14</f>
        <v xml:space="preserve"> - Nhựa đường</v>
      </c>
      <c r="E109" s="405" t="str">
        <f>'Giá VL'!F14</f>
        <v>kg</v>
      </c>
      <c r="F109" s="393">
        <v>0</v>
      </c>
      <c r="G109" s="336">
        <v>3.5</v>
      </c>
      <c r="H109" s="336">
        <f>'Tiên lượng'!V32</f>
        <v>1</v>
      </c>
      <c r="I109" s="336">
        <f>PRODUCT(F102, G109, H109)</f>
        <v>1301.6500000000001</v>
      </c>
      <c r="J109" s="659">
        <f>'Giá VL'!G14</f>
        <v>16300</v>
      </c>
      <c r="K109" s="659">
        <f t="shared" si="21"/>
        <v>57050</v>
      </c>
      <c r="L109" s="659">
        <f>'Giá VL'!J14</f>
        <v>23400</v>
      </c>
      <c r="M109" s="745">
        <f t="shared" si="22"/>
        <v>81900</v>
      </c>
      <c r="N109" s="745">
        <v>0</v>
      </c>
      <c r="O109" s="745">
        <v>0</v>
      </c>
      <c r="P109" s="745">
        <f>'Giá VL'!V14</f>
        <v>23512.2153897108</v>
      </c>
      <c r="Q109" s="745">
        <f t="shared" si="23"/>
        <v>82292.753863987804</v>
      </c>
      <c r="R109" s="448">
        <v>1.5</v>
      </c>
      <c r="S109" s="874"/>
      <c r="T109" s="874"/>
      <c r="U109" s="874"/>
      <c r="V109" s="874"/>
      <c r="W109" s="874"/>
      <c r="X109" s="874"/>
      <c r="Y109" s="874"/>
      <c r="Z109" s="874"/>
      <c r="AA109" s="874"/>
    </row>
    <row r="110" spans="1:27" x14ac:dyDescent="0.25">
      <c r="A110" s="259"/>
      <c r="B110" s="405">
        <v>0</v>
      </c>
      <c r="C110" s="339" t="s">
        <v>429</v>
      </c>
      <c r="D110" s="828" t="s">
        <v>506</v>
      </c>
      <c r="E110" s="405" t="s">
        <v>1086</v>
      </c>
      <c r="F110" s="393">
        <v>0</v>
      </c>
      <c r="G110" s="336">
        <f>AVERAGE(R104:R109)</f>
        <v>1.5</v>
      </c>
      <c r="H110" s="336">
        <f>'Tiên lượng'!V32</f>
        <v>1</v>
      </c>
      <c r="I110" s="336">
        <f>PRODUCT(F102, G110, H110)</f>
        <v>557.85</v>
      </c>
      <c r="J110" s="659">
        <f>(G104*J104+G105*J105+G106*J106+G107*J107+G108*J108+G109*J109)/100</f>
        <v>9403.6937500000004</v>
      </c>
      <c r="K110" s="659">
        <f t="shared" si="21"/>
        <v>14105.540625000001</v>
      </c>
      <c r="L110" s="659">
        <f>(G104*L104+G105*L105+G106*L106+G107*L107+G108*L108+G109*L109)/100</f>
        <v>12894.678749999999</v>
      </c>
      <c r="M110" s="745">
        <f t="shared" si="22"/>
        <v>19342.018124999999</v>
      </c>
      <c r="N110" s="745">
        <v>0</v>
      </c>
      <c r="O110" s="745">
        <v>0</v>
      </c>
      <c r="P110" s="745">
        <f>(G104*P104+G105*P105+G106*P106+G107*P107+G108*P108+G109*P109)/100</f>
        <v>15430.867234026058</v>
      </c>
      <c r="Q110" s="745">
        <f t="shared" si="23"/>
        <v>23146.300851039086</v>
      </c>
      <c r="R110" s="448">
        <v>0</v>
      </c>
      <c r="S110" s="874"/>
      <c r="T110" s="874"/>
      <c r="U110" s="874"/>
      <c r="V110" s="874"/>
      <c r="W110" s="874"/>
      <c r="X110" s="874"/>
      <c r="Y110" s="874"/>
      <c r="Z110" s="874"/>
      <c r="AA110" s="874"/>
    </row>
    <row r="111" spans="1:27" x14ac:dyDescent="0.25">
      <c r="A111" s="849"/>
      <c r="B111" s="198">
        <v>0</v>
      </c>
      <c r="C111" s="121" t="s">
        <v>125</v>
      </c>
      <c r="D111" s="644" t="s">
        <v>890</v>
      </c>
      <c r="E111" s="198"/>
      <c r="F111" s="182">
        <v>0</v>
      </c>
      <c r="G111" s="114">
        <v>0</v>
      </c>
      <c r="H111" s="114"/>
      <c r="I111" s="114">
        <v>0</v>
      </c>
      <c r="J111" s="430">
        <v>0</v>
      </c>
      <c r="K111" s="430">
        <f>SUM(K112:K112)</f>
        <v>369900</v>
      </c>
      <c r="L111" s="430">
        <v>0</v>
      </c>
      <c r="M111" s="537">
        <f>SUM(M112:M112)</f>
        <v>369900</v>
      </c>
      <c r="N111" s="537">
        <v>0</v>
      </c>
      <c r="O111" s="537">
        <v>0</v>
      </c>
      <c r="P111" s="537">
        <v>0</v>
      </c>
      <c r="Q111" s="537">
        <f>SUM(Q112:Q112)</f>
        <v>369900</v>
      </c>
      <c r="R111" s="448">
        <v>0</v>
      </c>
      <c r="S111" s="874"/>
      <c r="T111" s="874"/>
      <c r="U111" s="874"/>
      <c r="V111" s="874"/>
      <c r="W111" s="874"/>
      <c r="X111" s="874"/>
      <c r="Y111" s="874"/>
      <c r="Z111" s="874"/>
      <c r="AA111" s="874"/>
    </row>
    <row r="112" spans="1:27" x14ac:dyDescent="0.25">
      <c r="A112" s="259"/>
      <c r="B112" s="405">
        <v>0</v>
      </c>
      <c r="C112" s="339" t="s">
        <v>1055</v>
      </c>
      <c r="D112" s="828" t="str">
        <f>" - " &amp; 'Giá NC'!E7</f>
        <v xml:space="preserve"> - Nhân công bậc 3,5/7 - Nhóm 2</v>
      </c>
      <c r="E112" s="405" t="str">
        <f>'Giá NC'!F7</f>
        <v>công</v>
      </c>
      <c r="F112" s="393">
        <v>0</v>
      </c>
      <c r="G112" s="336">
        <v>1.37</v>
      </c>
      <c r="H112" s="336">
        <f>'Tiên lượng'!W32</f>
        <v>1</v>
      </c>
      <c r="I112" s="336">
        <f>PRODUCT(F102, G112, H112)</f>
        <v>509.5030000000001</v>
      </c>
      <c r="J112" s="659">
        <f>'Giá NC'!G7</f>
        <v>270000</v>
      </c>
      <c r="K112" s="659">
        <f>PRODUCT(G112, H112, J112)</f>
        <v>369900</v>
      </c>
      <c r="L112" s="659">
        <f>'Giá NC'!H7</f>
        <v>270000</v>
      </c>
      <c r="M112" s="745">
        <f>PRODUCT(G112, H112, L112)</f>
        <v>369900</v>
      </c>
      <c r="N112" s="745">
        <v>0</v>
      </c>
      <c r="O112" s="745">
        <v>0</v>
      </c>
      <c r="P112" s="745">
        <f>'Giá NC'!K7</f>
        <v>270000</v>
      </c>
      <c r="Q112" s="745">
        <f>PRODUCT(G112, H112, P112)</f>
        <v>369900</v>
      </c>
      <c r="R112" s="448">
        <v>0</v>
      </c>
      <c r="S112" s="874"/>
      <c r="T112" s="874"/>
      <c r="U112" s="874"/>
      <c r="V112" s="874"/>
      <c r="W112" s="874"/>
      <c r="X112" s="874"/>
      <c r="Y112" s="874"/>
      <c r="Z112" s="874"/>
      <c r="AA112" s="874"/>
    </row>
    <row r="113" spans="1:27" x14ac:dyDescent="0.25">
      <c r="A113" s="849"/>
      <c r="B113" s="198">
        <v>0</v>
      </c>
      <c r="C113" s="121" t="s">
        <v>539</v>
      </c>
      <c r="D113" s="644" t="s">
        <v>556</v>
      </c>
      <c r="E113" s="198"/>
      <c r="F113" s="182">
        <v>0</v>
      </c>
      <c r="G113" s="114">
        <v>0</v>
      </c>
      <c r="H113" s="114"/>
      <c r="I113" s="114">
        <v>0</v>
      </c>
      <c r="J113" s="430">
        <v>0</v>
      </c>
      <c r="K113" s="430">
        <f>SUM(K114:K117)</f>
        <v>82287.9084</v>
      </c>
      <c r="L113" s="430">
        <v>0</v>
      </c>
      <c r="M113" s="537">
        <f>SUM(M114:M117)</f>
        <v>82287.9084</v>
      </c>
      <c r="N113" s="537">
        <v>0</v>
      </c>
      <c r="O113" s="537">
        <v>0</v>
      </c>
      <c r="P113" s="537">
        <v>0</v>
      </c>
      <c r="Q113" s="537">
        <f>SUM(Q114:Q117)</f>
        <v>82287.9084</v>
      </c>
      <c r="R113" s="448">
        <v>0</v>
      </c>
      <c r="S113" s="874"/>
      <c r="T113" s="874"/>
      <c r="U113" s="874"/>
      <c r="V113" s="874"/>
      <c r="W113" s="874"/>
      <c r="X113" s="874"/>
      <c r="Y113" s="874"/>
      <c r="Z113" s="874"/>
      <c r="AA113" s="874"/>
    </row>
    <row r="114" spans="1:27" x14ac:dyDescent="0.25">
      <c r="A114" s="259"/>
      <c r="B114" s="405">
        <v>0</v>
      </c>
      <c r="C114" s="339" t="s">
        <v>698</v>
      </c>
      <c r="D114" s="828" t="str">
        <f>" - " &amp; 'Giá Máy'!E16</f>
        <v xml:space="preserve"> - Máy trộn bê tông 250 lít</v>
      </c>
      <c r="E114" s="405" t="str">
        <f>'Giá Máy'!F16</f>
        <v>ca</v>
      </c>
      <c r="F114" s="393">
        <v>0</v>
      </c>
      <c r="G114" s="336">
        <v>9.5000000000000001E-2</v>
      </c>
      <c r="H114" s="336">
        <f>'Tiên lượng'!X32</f>
        <v>1</v>
      </c>
      <c r="I114" s="336">
        <f>PRODUCT(F102, G114, H114)</f>
        <v>35.330500000000001</v>
      </c>
      <c r="J114" s="659">
        <f>'Giá Máy'!G16</f>
        <v>326306</v>
      </c>
      <c r="K114" s="659">
        <f t="shared" ref="K114:K117" si="24">PRODUCT(G114, H114, J114)</f>
        <v>30999.07</v>
      </c>
      <c r="L114" s="659">
        <f>'Giá Máy'!H16</f>
        <v>326306</v>
      </c>
      <c r="M114" s="745">
        <f t="shared" ref="M114:M117" si="25">PRODUCT(G114, H114, L114)</f>
        <v>30999.07</v>
      </c>
      <c r="N114" s="745">
        <v>0</v>
      </c>
      <c r="O114" s="745">
        <v>0</v>
      </c>
      <c r="P114" s="745">
        <f>'Giá Máy'!O16</f>
        <v>326306</v>
      </c>
      <c r="Q114" s="745">
        <f t="shared" ref="Q114:Q117" si="26">PRODUCT(G114, H114, P114)</f>
        <v>30999.07</v>
      </c>
      <c r="R114" s="448">
        <v>2</v>
      </c>
      <c r="S114" s="874"/>
      <c r="T114" s="874"/>
      <c r="U114" s="874"/>
      <c r="V114" s="874"/>
      <c r="W114" s="874"/>
      <c r="X114" s="874"/>
      <c r="Y114" s="874"/>
      <c r="Z114" s="874"/>
      <c r="AA114" s="874"/>
    </row>
    <row r="115" spans="1:27" x14ac:dyDescent="0.25">
      <c r="A115" s="259"/>
      <c r="B115" s="405">
        <v>0</v>
      </c>
      <c r="C115" s="339" t="s">
        <v>1395</v>
      </c>
      <c r="D115" s="828" t="str">
        <f>" - " &amp; 'Giá Máy'!E8</f>
        <v xml:space="preserve"> - Máy đầm bàn 1kW</v>
      </c>
      <c r="E115" s="405" t="str">
        <f>'Giá Máy'!F8</f>
        <v>ca</v>
      </c>
      <c r="F115" s="393">
        <v>0</v>
      </c>
      <c r="G115" s="336">
        <v>8.8999999999999996E-2</v>
      </c>
      <c r="H115" s="336">
        <f>'Tiên lượng'!X32</f>
        <v>1</v>
      </c>
      <c r="I115" s="336">
        <f>PRODUCT(F102, G115, H115)</f>
        <v>33.0991</v>
      </c>
      <c r="J115" s="659">
        <f>'Giá Máy'!G8</f>
        <v>276871</v>
      </c>
      <c r="K115" s="659">
        <f t="shared" si="24"/>
        <v>24641.519</v>
      </c>
      <c r="L115" s="659">
        <f>'Giá Máy'!H8</f>
        <v>276871</v>
      </c>
      <c r="M115" s="745">
        <f t="shared" si="25"/>
        <v>24641.519</v>
      </c>
      <c r="N115" s="745">
        <v>0</v>
      </c>
      <c r="O115" s="745">
        <v>0</v>
      </c>
      <c r="P115" s="745">
        <f>'Giá Máy'!O8</f>
        <v>276871</v>
      </c>
      <c r="Q115" s="745">
        <f t="shared" si="26"/>
        <v>24641.519</v>
      </c>
      <c r="R115" s="448">
        <v>2</v>
      </c>
      <c r="S115" s="874"/>
      <c r="T115" s="874"/>
      <c r="U115" s="874"/>
      <c r="V115" s="874"/>
      <c r="W115" s="874"/>
      <c r="X115" s="874"/>
      <c r="Y115" s="874"/>
      <c r="Z115" s="874"/>
      <c r="AA115" s="874"/>
    </row>
    <row r="116" spans="1:27" x14ac:dyDescent="0.25">
      <c r="A116" s="259"/>
      <c r="B116" s="405">
        <v>0</v>
      </c>
      <c r="C116" s="339" t="s">
        <v>1341</v>
      </c>
      <c r="D116" s="828" t="str">
        <f>" - " &amp; 'Giá Máy'!E10</f>
        <v xml:space="preserve"> - Máy đầm dùi 1,5kW</v>
      </c>
      <c r="E116" s="405" t="str">
        <f>'Giá Máy'!F10</f>
        <v>ca</v>
      </c>
      <c r="F116" s="393">
        <v>0</v>
      </c>
      <c r="G116" s="336">
        <v>8.8999999999999996E-2</v>
      </c>
      <c r="H116" s="336">
        <f>'Tiên lượng'!X32</f>
        <v>1</v>
      </c>
      <c r="I116" s="336">
        <f>PRODUCT(F102, G116, H116)</f>
        <v>33.0991</v>
      </c>
      <c r="J116" s="659">
        <f>'Giá Máy'!G10</f>
        <v>281279</v>
      </c>
      <c r="K116" s="659">
        <f t="shared" si="24"/>
        <v>25033.830999999998</v>
      </c>
      <c r="L116" s="659">
        <f>'Giá Máy'!H10</f>
        <v>281279</v>
      </c>
      <c r="M116" s="745">
        <f t="shared" si="25"/>
        <v>25033.830999999998</v>
      </c>
      <c r="N116" s="745">
        <v>0</v>
      </c>
      <c r="O116" s="745">
        <v>0</v>
      </c>
      <c r="P116" s="745">
        <f>'Giá Máy'!O10</f>
        <v>281279</v>
      </c>
      <c r="Q116" s="745">
        <f t="shared" si="26"/>
        <v>25033.830999999998</v>
      </c>
      <c r="R116" s="448">
        <v>2</v>
      </c>
      <c r="S116" s="874"/>
      <c r="T116" s="874"/>
      <c r="U116" s="874"/>
      <c r="V116" s="874"/>
      <c r="W116" s="874"/>
      <c r="X116" s="874"/>
      <c r="Y116" s="874"/>
      <c r="Z116" s="874"/>
      <c r="AA116" s="874"/>
    </row>
    <row r="117" spans="1:27" x14ac:dyDescent="0.25">
      <c r="A117" s="801"/>
      <c r="B117" s="47">
        <v>0</v>
      </c>
      <c r="C117" s="359" t="s">
        <v>760</v>
      </c>
      <c r="D117" s="485" t="s">
        <v>830</v>
      </c>
      <c r="E117" s="47" t="s">
        <v>1086</v>
      </c>
      <c r="F117" s="28">
        <v>0</v>
      </c>
      <c r="G117" s="866">
        <f>AVERAGE(R114:R116)</f>
        <v>2</v>
      </c>
      <c r="H117" s="866">
        <f>'Tiên lượng'!X32</f>
        <v>1</v>
      </c>
      <c r="I117" s="866">
        <f>PRODUCT(F102, G117, H117)</f>
        <v>743.80000000000007</v>
      </c>
      <c r="J117" s="676">
        <f>(G114*J114+G115*J115+G116*J116)/100</f>
        <v>806.74419999999998</v>
      </c>
      <c r="K117" s="676">
        <f t="shared" si="24"/>
        <v>1613.4884</v>
      </c>
      <c r="L117" s="676">
        <f>(G114*L114+G115*L115+G116*L116)/100</f>
        <v>806.74419999999998</v>
      </c>
      <c r="M117" s="767">
        <f t="shared" si="25"/>
        <v>1613.4884</v>
      </c>
      <c r="N117" s="767">
        <v>0</v>
      </c>
      <c r="O117" s="767">
        <v>0</v>
      </c>
      <c r="P117" s="767">
        <f>(G114*P114+G115*P115+G116*P116)/100</f>
        <v>806.74419999999998</v>
      </c>
      <c r="Q117" s="767">
        <f t="shared" si="26"/>
        <v>1613.4884</v>
      </c>
      <c r="R117" s="82">
        <v>0</v>
      </c>
      <c r="S117" s="874"/>
      <c r="T117" s="874"/>
      <c r="U117" s="874"/>
      <c r="V117" s="874"/>
      <c r="W117" s="874"/>
      <c r="X117" s="874"/>
      <c r="Y117" s="874"/>
      <c r="Z117" s="874"/>
      <c r="AA117" s="874"/>
    </row>
    <row r="118" spans="1:27" ht="30" x14ac:dyDescent="0.25">
      <c r="A118" s="851"/>
      <c r="B118" s="110">
        <v>17</v>
      </c>
      <c r="C118" s="45" t="s">
        <v>1085</v>
      </c>
      <c r="D118" s="554" t="str">
        <f>'Tiên lượng'!D35</f>
        <v>Cắt khe co, dãn mặt đường BTXM ( 5m cắt 1 mạch)</v>
      </c>
      <c r="E118" s="110" t="str">
        <f>'Tiên lượng'!E35</f>
        <v>10m</v>
      </c>
      <c r="F118" s="88">
        <f>'Tiên lượng'!M35</f>
        <v>36.190000000000005</v>
      </c>
      <c r="G118" s="26">
        <v>0</v>
      </c>
      <c r="H118" s="26">
        <v>0</v>
      </c>
      <c r="I118" s="26">
        <v>0</v>
      </c>
      <c r="J118" s="732">
        <v>0</v>
      </c>
      <c r="K118" s="732">
        <v>0</v>
      </c>
      <c r="L118" s="732">
        <v>0</v>
      </c>
      <c r="M118" s="818">
        <v>0</v>
      </c>
      <c r="N118" s="818">
        <v>0</v>
      </c>
      <c r="O118" s="818">
        <v>0</v>
      </c>
      <c r="P118" s="818">
        <v>0</v>
      </c>
      <c r="Q118" s="818">
        <v>0</v>
      </c>
      <c r="R118" s="155">
        <v>0</v>
      </c>
      <c r="S118" s="874"/>
      <c r="T118" s="874"/>
      <c r="U118" s="874"/>
      <c r="V118" s="874"/>
      <c r="W118" s="874"/>
      <c r="X118" s="874"/>
      <c r="Y118" s="874"/>
      <c r="Z118" s="874"/>
      <c r="AA118" s="874"/>
    </row>
    <row r="119" spans="1:27" x14ac:dyDescent="0.25">
      <c r="A119" s="849"/>
      <c r="B119" s="198">
        <v>0</v>
      </c>
      <c r="C119" s="121" t="s">
        <v>479</v>
      </c>
      <c r="D119" s="644" t="s">
        <v>1372</v>
      </c>
      <c r="E119" s="198"/>
      <c r="F119" s="182">
        <v>0</v>
      </c>
      <c r="G119" s="114">
        <v>0</v>
      </c>
      <c r="H119" s="114"/>
      <c r="I119" s="114">
        <v>0</v>
      </c>
      <c r="J119" s="430">
        <v>0</v>
      </c>
      <c r="K119" s="430">
        <f>SUM(K120:K121)</f>
        <v>7185</v>
      </c>
      <c r="L119" s="430">
        <v>0</v>
      </c>
      <c r="M119" s="537">
        <f>SUM(M120:M121)</f>
        <v>7185</v>
      </c>
      <c r="N119" s="537">
        <v>0</v>
      </c>
      <c r="O119" s="537">
        <v>0</v>
      </c>
      <c r="P119" s="537">
        <v>0</v>
      </c>
      <c r="Q119" s="537">
        <f>SUM(Q120:Q121)</f>
        <v>7185</v>
      </c>
      <c r="R119" s="448">
        <v>0</v>
      </c>
      <c r="S119" s="874"/>
      <c r="T119" s="874"/>
      <c r="U119" s="874"/>
      <c r="V119" s="874"/>
      <c r="W119" s="874"/>
      <c r="X119" s="874"/>
      <c r="Y119" s="874"/>
      <c r="Z119" s="874"/>
      <c r="AA119" s="874"/>
    </row>
    <row r="120" spans="1:27" x14ac:dyDescent="0.25">
      <c r="A120" s="259"/>
      <c r="B120" s="405">
        <v>0</v>
      </c>
      <c r="C120" s="339" t="s">
        <v>496</v>
      </c>
      <c r="D120" s="828" t="str">
        <f>" - " &amp; 'Giá VL'!E13</f>
        <v xml:space="preserve"> - Lưỡi cắt D350mm</v>
      </c>
      <c r="E120" s="405" t="str">
        <f>'Giá VL'!F13</f>
        <v>cái</v>
      </c>
      <c r="F120" s="393">
        <v>0</v>
      </c>
      <c r="G120" s="336">
        <v>0.13200000000000001</v>
      </c>
      <c r="H120" s="336">
        <f>'Tiên lượng'!V35</f>
        <v>1</v>
      </c>
      <c r="I120" s="336">
        <f>PRODUCT(F118, G120, H120)</f>
        <v>4.7770800000000007</v>
      </c>
      <c r="J120" s="659">
        <f>'Giá VL'!G13</f>
        <v>45000</v>
      </c>
      <c r="K120" s="659">
        <f t="shared" ref="K120:K121" si="27">PRODUCT(G120, H120, J120)</f>
        <v>5940</v>
      </c>
      <c r="L120" s="659">
        <f>'Giá VL'!J13</f>
        <v>45000</v>
      </c>
      <c r="M120" s="745">
        <f t="shared" ref="M120:M121" si="28">PRODUCT(G120, H120, L120)</f>
        <v>5940</v>
      </c>
      <c r="N120" s="745">
        <v>0</v>
      </c>
      <c r="O120" s="745">
        <v>0</v>
      </c>
      <c r="P120" s="745">
        <f>'Giá VL'!V13</f>
        <v>45000</v>
      </c>
      <c r="Q120" s="745">
        <f t="shared" ref="Q120:Q121" si="29">PRODUCT(G120, H120, P120)</f>
        <v>5940</v>
      </c>
      <c r="R120" s="448">
        <v>0</v>
      </c>
      <c r="S120" s="874"/>
      <c r="T120" s="874"/>
      <c r="U120" s="874"/>
      <c r="V120" s="874"/>
      <c r="W120" s="874"/>
      <c r="X120" s="874"/>
      <c r="Y120" s="874"/>
      <c r="Z120" s="874"/>
      <c r="AA120" s="874"/>
    </row>
    <row r="121" spans="1:27" x14ac:dyDescent="0.25">
      <c r="A121" s="259"/>
      <c r="B121" s="405">
        <v>0</v>
      </c>
      <c r="C121" s="339" t="s">
        <v>444</v>
      </c>
      <c r="D121" s="828" t="str">
        <f>" - " &amp; 'Giá VL'!E16</f>
        <v xml:space="preserve"> - Nước</v>
      </c>
      <c r="E121" s="405" t="str">
        <f>'Giá VL'!F16</f>
        <v>m3</v>
      </c>
      <c r="F121" s="393">
        <v>0</v>
      </c>
      <c r="G121" s="336">
        <v>8.3000000000000004E-2</v>
      </c>
      <c r="H121" s="336">
        <f>'Tiên lượng'!V35</f>
        <v>1</v>
      </c>
      <c r="I121" s="336">
        <f>PRODUCT(F118, G121, H121)</f>
        <v>3.0037700000000007</v>
      </c>
      <c r="J121" s="659">
        <f>'Giá VL'!G16</f>
        <v>15000</v>
      </c>
      <c r="K121" s="659">
        <f t="shared" si="27"/>
        <v>1245</v>
      </c>
      <c r="L121" s="659">
        <f>'Giá VL'!J16</f>
        <v>15000</v>
      </c>
      <c r="M121" s="745">
        <f t="shared" si="28"/>
        <v>1245</v>
      </c>
      <c r="N121" s="745">
        <v>0</v>
      </c>
      <c r="O121" s="745">
        <v>0</v>
      </c>
      <c r="P121" s="745">
        <f>'Giá VL'!V16</f>
        <v>15000</v>
      </c>
      <c r="Q121" s="745">
        <f t="shared" si="29"/>
        <v>1245</v>
      </c>
      <c r="R121" s="448">
        <v>0</v>
      </c>
      <c r="S121" s="874"/>
      <c r="T121" s="874"/>
      <c r="U121" s="874"/>
      <c r="V121" s="874"/>
      <c r="W121" s="874"/>
      <c r="X121" s="874"/>
      <c r="Y121" s="874"/>
      <c r="Z121" s="874"/>
      <c r="AA121" s="874"/>
    </row>
    <row r="122" spans="1:27" x14ac:dyDescent="0.25">
      <c r="A122" s="849"/>
      <c r="B122" s="198">
        <v>0</v>
      </c>
      <c r="C122" s="121" t="s">
        <v>125</v>
      </c>
      <c r="D122" s="644" t="s">
        <v>890</v>
      </c>
      <c r="E122" s="198"/>
      <c r="F122" s="182">
        <v>0</v>
      </c>
      <c r="G122" s="114">
        <v>0</v>
      </c>
      <c r="H122" s="114"/>
      <c r="I122" s="114">
        <v>0</v>
      </c>
      <c r="J122" s="430">
        <v>0</v>
      </c>
      <c r="K122" s="430">
        <f>SUM(K123:K123)</f>
        <v>148500</v>
      </c>
      <c r="L122" s="430">
        <v>0</v>
      </c>
      <c r="M122" s="537">
        <f>SUM(M123:M123)</f>
        <v>148500</v>
      </c>
      <c r="N122" s="537">
        <v>0</v>
      </c>
      <c r="O122" s="537">
        <v>0</v>
      </c>
      <c r="P122" s="537">
        <v>0</v>
      </c>
      <c r="Q122" s="537">
        <f>SUM(Q123:Q123)</f>
        <v>148500</v>
      </c>
      <c r="R122" s="448">
        <v>0</v>
      </c>
      <c r="S122" s="874"/>
      <c r="T122" s="874"/>
      <c r="U122" s="874"/>
      <c r="V122" s="874"/>
      <c r="W122" s="874"/>
      <c r="X122" s="874"/>
      <c r="Y122" s="874"/>
      <c r="Z122" s="874"/>
      <c r="AA122" s="874"/>
    </row>
    <row r="123" spans="1:27" x14ac:dyDescent="0.25">
      <c r="A123" s="259"/>
      <c r="B123" s="405">
        <v>0</v>
      </c>
      <c r="C123" s="339" t="s">
        <v>1055</v>
      </c>
      <c r="D123" s="828" t="str">
        <f>" - " &amp; 'Giá NC'!E7</f>
        <v xml:space="preserve"> - Nhân công bậc 3,5/7 - Nhóm 2</v>
      </c>
      <c r="E123" s="405" t="str">
        <f>'Giá NC'!F7</f>
        <v>công</v>
      </c>
      <c r="F123" s="393">
        <v>0</v>
      </c>
      <c r="G123" s="336">
        <v>0.55000000000000004</v>
      </c>
      <c r="H123" s="336">
        <f>'Tiên lượng'!W35</f>
        <v>1</v>
      </c>
      <c r="I123" s="336">
        <f>PRODUCT(F118, G123, H123)</f>
        <v>19.904500000000006</v>
      </c>
      <c r="J123" s="659">
        <f>'Giá NC'!G7</f>
        <v>270000</v>
      </c>
      <c r="K123" s="659">
        <f>PRODUCT(G123, H123, J123)</f>
        <v>148500</v>
      </c>
      <c r="L123" s="659">
        <f>'Giá NC'!H7</f>
        <v>270000</v>
      </c>
      <c r="M123" s="745">
        <f>PRODUCT(G123, H123, L123)</f>
        <v>148500</v>
      </c>
      <c r="N123" s="745">
        <v>0</v>
      </c>
      <c r="O123" s="745">
        <v>0</v>
      </c>
      <c r="P123" s="745">
        <f>'Giá NC'!K7</f>
        <v>270000</v>
      </c>
      <c r="Q123" s="745">
        <f>PRODUCT(G123, H123, P123)</f>
        <v>148500</v>
      </c>
      <c r="R123" s="448">
        <v>0</v>
      </c>
      <c r="S123" s="874"/>
      <c r="T123" s="874"/>
      <c r="U123" s="874"/>
      <c r="V123" s="874"/>
      <c r="W123" s="874"/>
      <c r="X123" s="874"/>
      <c r="Y123" s="874"/>
      <c r="Z123" s="874"/>
      <c r="AA123" s="874"/>
    </row>
    <row r="124" spans="1:27" x14ac:dyDescent="0.25">
      <c r="A124" s="849"/>
      <c r="B124" s="198">
        <v>0</v>
      </c>
      <c r="C124" s="121" t="s">
        <v>539</v>
      </c>
      <c r="D124" s="644" t="s">
        <v>556</v>
      </c>
      <c r="E124" s="198"/>
      <c r="F124" s="182">
        <v>0</v>
      </c>
      <c r="G124" s="114">
        <v>0</v>
      </c>
      <c r="H124" s="114"/>
      <c r="I124" s="114">
        <v>0</v>
      </c>
      <c r="J124" s="430">
        <v>0</v>
      </c>
      <c r="K124" s="430">
        <f>SUM(K125:K125)</f>
        <v>69677.740000000005</v>
      </c>
      <c r="L124" s="430">
        <v>0</v>
      </c>
      <c r="M124" s="537">
        <f>SUM(M125:M125)</f>
        <v>69677.740000000005</v>
      </c>
      <c r="N124" s="537">
        <v>0</v>
      </c>
      <c r="O124" s="537">
        <v>0</v>
      </c>
      <c r="P124" s="537">
        <v>0</v>
      </c>
      <c r="Q124" s="537">
        <f>SUM(Q125:Q125)</f>
        <v>69677.740000000005</v>
      </c>
      <c r="R124" s="448">
        <v>0</v>
      </c>
      <c r="S124" s="874"/>
      <c r="T124" s="874"/>
      <c r="U124" s="874"/>
      <c r="V124" s="874"/>
      <c r="W124" s="874"/>
      <c r="X124" s="874"/>
      <c r="Y124" s="874"/>
      <c r="Z124" s="874"/>
      <c r="AA124" s="874"/>
    </row>
    <row r="125" spans="1:27" x14ac:dyDescent="0.25">
      <c r="A125" s="801"/>
      <c r="B125" s="47">
        <v>0</v>
      </c>
      <c r="C125" s="359" t="s">
        <v>369</v>
      </c>
      <c r="D125" s="485" t="str">
        <f>" - " &amp; 'Giá Máy'!E7</f>
        <v xml:space="preserve"> - Máy cắt bê tông 7,5kW</v>
      </c>
      <c r="E125" s="47" t="str">
        <f>'Giá Máy'!F7</f>
        <v>ca</v>
      </c>
      <c r="F125" s="28">
        <v>0</v>
      </c>
      <c r="G125" s="866">
        <v>0.22</v>
      </c>
      <c r="H125" s="866">
        <f>'Tiên lượng'!X35</f>
        <v>1</v>
      </c>
      <c r="I125" s="866">
        <f>PRODUCT(F118, G125, H125)</f>
        <v>7.9618000000000011</v>
      </c>
      <c r="J125" s="676">
        <f>'Giá Máy'!G7</f>
        <v>316717</v>
      </c>
      <c r="K125" s="676">
        <f>PRODUCT(G125, H125, J125)</f>
        <v>69677.740000000005</v>
      </c>
      <c r="L125" s="676">
        <f>'Giá Máy'!H7</f>
        <v>316717</v>
      </c>
      <c r="M125" s="767">
        <f>PRODUCT(G125, H125, L125)</f>
        <v>69677.740000000005</v>
      </c>
      <c r="N125" s="767">
        <v>0</v>
      </c>
      <c r="O125" s="767">
        <v>0</v>
      </c>
      <c r="P125" s="767">
        <f>'Giá Máy'!O7</f>
        <v>316717</v>
      </c>
      <c r="Q125" s="767">
        <f>PRODUCT(G125, H125, P125)</f>
        <v>69677.740000000005</v>
      </c>
      <c r="R125" s="82">
        <v>0</v>
      </c>
      <c r="S125" s="874"/>
      <c r="T125" s="874"/>
      <c r="U125" s="874"/>
      <c r="V125" s="874"/>
      <c r="W125" s="874"/>
      <c r="X125" s="874"/>
      <c r="Y125" s="874"/>
      <c r="Z125" s="874"/>
      <c r="AA125" s="874"/>
    </row>
    <row r="126" spans="1:27" x14ac:dyDescent="0.25">
      <c r="A126" s="851"/>
      <c r="B126" s="110">
        <v>18</v>
      </c>
      <c r="C126" s="45" t="s">
        <v>172</v>
      </c>
      <c r="D126" s="554" t="str">
        <f>'Tiên lượng'!D37</f>
        <v>Công tác đánh bóng mặt đường bằng máy</v>
      </c>
      <c r="E126" s="110" t="str">
        <f>'Tiên lượng'!E37</f>
        <v>m2</v>
      </c>
      <c r="F126" s="88">
        <f>'Tiên lượng'!M37</f>
        <v>1859.5</v>
      </c>
      <c r="G126" s="26">
        <v>0</v>
      </c>
      <c r="H126" s="26">
        <v>0</v>
      </c>
      <c r="I126" s="26">
        <v>0</v>
      </c>
      <c r="J126" s="732">
        <v>0</v>
      </c>
      <c r="K126" s="732">
        <v>0</v>
      </c>
      <c r="L126" s="732">
        <v>0</v>
      </c>
      <c r="M126" s="818">
        <v>0</v>
      </c>
      <c r="N126" s="818">
        <v>0</v>
      </c>
      <c r="O126" s="818">
        <v>0</v>
      </c>
      <c r="P126" s="818">
        <v>0</v>
      </c>
      <c r="Q126" s="818">
        <v>0</v>
      </c>
      <c r="R126" s="155">
        <v>0</v>
      </c>
      <c r="S126" s="874"/>
      <c r="T126" s="874"/>
      <c r="U126" s="874"/>
      <c r="V126" s="874"/>
      <c r="W126" s="874"/>
      <c r="X126" s="874"/>
      <c r="Y126" s="874"/>
      <c r="Z126" s="874"/>
      <c r="AA126" s="874"/>
    </row>
    <row r="127" spans="1:27" x14ac:dyDescent="0.25">
      <c r="A127" s="849"/>
      <c r="B127" s="198">
        <v>0</v>
      </c>
      <c r="C127" s="121" t="s">
        <v>479</v>
      </c>
      <c r="D127" s="644" t="s">
        <v>1372</v>
      </c>
      <c r="E127" s="198"/>
      <c r="F127" s="182">
        <v>0</v>
      </c>
      <c r="G127" s="114">
        <v>0</v>
      </c>
      <c r="H127" s="114">
        <v>1</v>
      </c>
      <c r="I127" s="114">
        <v>0</v>
      </c>
      <c r="J127" s="430">
        <v>0</v>
      </c>
      <c r="K127" s="430">
        <f>SUM(K128:K128)</f>
        <v>5000</v>
      </c>
      <c r="L127" s="430">
        <v>0</v>
      </c>
      <c r="M127" s="537">
        <f>SUM(M128:M128)</f>
        <v>5000</v>
      </c>
      <c r="N127" s="537">
        <v>0</v>
      </c>
      <c r="O127" s="537">
        <v>0</v>
      </c>
      <c r="P127" s="537">
        <v>0</v>
      </c>
      <c r="Q127" s="537">
        <f>SUM(Q128:Q128)</f>
        <v>5000</v>
      </c>
      <c r="R127" s="448">
        <v>0</v>
      </c>
      <c r="S127" s="874"/>
      <c r="T127" s="874"/>
      <c r="U127" s="874"/>
      <c r="V127" s="874"/>
      <c r="W127" s="874"/>
      <c r="X127" s="874"/>
      <c r="Y127" s="874"/>
      <c r="Z127" s="874"/>
      <c r="AA127" s="874"/>
    </row>
    <row r="128" spans="1:27" x14ac:dyDescent="0.25">
      <c r="A128" s="259"/>
      <c r="B128" s="405">
        <v>0</v>
      </c>
      <c r="C128" s="596" t="s">
        <v>306</v>
      </c>
      <c r="D128" s="828" t="s">
        <v>864</v>
      </c>
      <c r="E128" s="405"/>
      <c r="F128" s="393">
        <v>0</v>
      </c>
      <c r="G128" s="336">
        <v>1</v>
      </c>
      <c r="H128" s="336">
        <f>'Tiên lượng'!V37</f>
        <v>1</v>
      </c>
      <c r="I128" s="336">
        <f>PRODUCT(F126, G128, H128)</f>
        <v>1859.5</v>
      </c>
      <c r="J128" s="659">
        <v>5000</v>
      </c>
      <c r="K128" s="659">
        <f>PRODUCT(G128, H128, J128)</f>
        <v>5000</v>
      </c>
      <c r="L128" s="659">
        <v>5000</v>
      </c>
      <c r="M128" s="745">
        <f>PRODUCT(G128, H128, L128)</f>
        <v>5000</v>
      </c>
      <c r="N128" s="745">
        <v>0</v>
      </c>
      <c r="O128" s="745">
        <v>0</v>
      </c>
      <c r="P128" s="745">
        <v>5000</v>
      </c>
      <c r="Q128" s="745">
        <f>PRODUCT(G128, H128, P128)</f>
        <v>5000</v>
      </c>
      <c r="R128" s="448">
        <v>0</v>
      </c>
      <c r="S128" s="874"/>
      <c r="T128" s="874"/>
      <c r="U128" s="874"/>
      <c r="V128" s="874"/>
      <c r="W128" s="874"/>
      <c r="X128" s="874"/>
      <c r="Y128" s="874"/>
      <c r="Z128" s="874"/>
      <c r="AA128" s="874"/>
    </row>
    <row r="129" spans="1:27" x14ac:dyDescent="0.25">
      <c r="A129" s="849"/>
      <c r="B129" s="198">
        <v>0</v>
      </c>
      <c r="C129" s="121" t="s">
        <v>125</v>
      </c>
      <c r="D129" s="644" t="s">
        <v>890</v>
      </c>
      <c r="E129" s="198"/>
      <c r="F129" s="182">
        <v>0</v>
      </c>
      <c r="G129" s="114">
        <v>0</v>
      </c>
      <c r="H129" s="114">
        <v>1</v>
      </c>
      <c r="I129" s="114">
        <v>0</v>
      </c>
      <c r="J129" s="430">
        <v>0</v>
      </c>
      <c r="K129" s="430">
        <f>SUM(K130:K130)</f>
        <v>12000</v>
      </c>
      <c r="L129" s="430">
        <v>0</v>
      </c>
      <c r="M129" s="537">
        <f>SUM(M130:M130)</f>
        <v>12000</v>
      </c>
      <c r="N129" s="537">
        <v>0</v>
      </c>
      <c r="O129" s="537">
        <v>0</v>
      </c>
      <c r="P129" s="537">
        <v>0</v>
      </c>
      <c r="Q129" s="537">
        <f>SUM(Q130:Q130)</f>
        <v>12000</v>
      </c>
      <c r="R129" s="448">
        <v>0</v>
      </c>
      <c r="S129" s="874"/>
      <c r="T129" s="874"/>
      <c r="U129" s="874"/>
      <c r="V129" s="874"/>
      <c r="W129" s="874"/>
      <c r="X129" s="874"/>
      <c r="Y129" s="874"/>
      <c r="Z129" s="874"/>
      <c r="AA129" s="874"/>
    </row>
    <row r="130" spans="1:27" x14ac:dyDescent="0.25">
      <c r="A130" s="259"/>
      <c r="B130" s="405">
        <v>0</v>
      </c>
      <c r="C130" s="596" t="s">
        <v>306</v>
      </c>
      <c r="D130" s="828" t="s">
        <v>492</v>
      </c>
      <c r="E130" s="405"/>
      <c r="F130" s="393">
        <v>0</v>
      </c>
      <c r="G130" s="336">
        <v>1</v>
      </c>
      <c r="H130" s="336">
        <f>'Tiên lượng'!W37</f>
        <v>1</v>
      </c>
      <c r="I130" s="336">
        <f>PRODUCT(F126, G130, H130)</f>
        <v>1859.5</v>
      </c>
      <c r="J130" s="659">
        <v>12000</v>
      </c>
      <c r="K130" s="659">
        <f>PRODUCT(G130, H130, J130)</f>
        <v>12000</v>
      </c>
      <c r="L130" s="659">
        <v>12000</v>
      </c>
      <c r="M130" s="745">
        <f>PRODUCT(G130, H130, L130)</f>
        <v>12000</v>
      </c>
      <c r="N130" s="745">
        <v>0</v>
      </c>
      <c r="O130" s="745">
        <v>0</v>
      </c>
      <c r="P130" s="745">
        <v>12000</v>
      </c>
      <c r="Q130" s="745">
        <f>PRODUCT(G130, H130, P130)</f>
        <v>12000</v>
      </c>
      <c r="R130" s="448">
        <v>0</v>
      </c>
      <c r="S130" s="874"/>
      <c r="T130" s="874"/>
      <c r="U130" s="874"/>
      <c r="V130" s="874"/>
      <c r="W130" s="874"/>
      <c r="X130" s="874"/>
      <c r="Y130" s="874"/>
      <c r="Z130" s="874"/>
      <c r="AA130" s="874"/>
    </row>
    <row r="131" spans="1:27" x14ac:dyDescent="0.25">
      <c r="A131" s="849"/>
      <c r="B131" s="198">
        <v>0</v>
      </c>
      <c r="C131" s="121" t="s">
        <v>539</v>
      </c>
      <c r="D131" s="644" t="s">
        <v>556</v>
      </c>
      <c r="E131" s="198"/>
      <c r="F131" s="182">
        <v>0</v>
      </c>
      <c r="G131" s="114">
        <v>0</v>
      </c>
      <c r="H131" s="114">
        <v>1</v>
      </c>
      <c r="I131" s="114">
        <v>0</v>
      </c>
      <c r="J131" s="430">
        <v>0</v>
      </c>
      <c r="K131" s="430">
        <f>SUM(K132:K132)</f>
        <v>0</v>
      </c>
      <c r="L131" s="430">
        <v>0</v>
      </c>
      <c r="M131" s="537">
        <f>SUM(M132:M132)</f>
        <v>0</v>
      </c>
      <c r="N131" s="537">
        <v>0</v>
      </c>
      <c r="O131" s="537">
        <v>0</v>
      </c>
      <c r="P131" s="537">
        <v>0</v>
      </c>
      <c r="Q131" s="537">
        <f>SUM(Q132:Q132)</f>
        <v>0</v>
      </c>
      <c r="R131" s="448">
        <v>0</v>
      </c>
      <c r="S131" s="874"/>
      <c r="T131" s="874"/>
      <c r="U131" s="874"/>
      <c r="V131" s="874"/>
      <c r="W131" s="874"/>
      <c r="X131" s="874"/>
      <c r="Y131" s="874"/>
      <c r="Z131" s="874"/>
      <c r="AA131" s="874"/>
    </row>
    <row r="132" spans="1:27" x14ac:dyDescent="0.25">
      <c r="A132" s="801"/>
      <c r="B132" s="47">
        <v>0</v>
      </c>
      <c r="C132" s="616" t="s">
        <v>306</v>
      </c>
      <c r="D132" s="485" t="s">
        <v>6</v>
      </c>
      <c r="E132" s="47"/>
      <c r="F132" s="28">
        <v>0</v>
      </c>
      <c r="G132" s="866">
        <v>1</v>
      </c>
      <c r="H132" s="866">
        <f>'Tiên lượng'!X37</f>
        <v>1</v>
      </c>
      <c r="I132" s="866">
        <f>PRODUCT(F126, G132, H132)</f>
        <v>1859.5</v>
      </c>
      <c r="J132" s="676">
        <v>0</v>
      </c>
      <c r="K132" s="676">
        <f>PRODUCT(G132, H132, J132)</f>
        <v>0</v>
      </c>
      <c r="L132" s="676">
        <v>0</v>
      </c>
      <c r="M132" s="767">
        <f>PRODUCT(G132, H132, L132)</f>
        <v>0</v>
      </c>
      <c r="N132" s="767">
        <v>0</v>
      </c>
      <c r="O132" s="767">
        <v>0</v>
      </c>
      <c r="P132" s="767">
        <v>0</v>
      </c>
      <c r="Q132" s="767">
        <f>PRODUCT(G132, H132, P132)</f>
        <v>0</v>
      </c>
      <c r="R132" s="82">
        <v>0</v>
      </c>
      <c r="S132" s="874"/>
      <c r="T132" s="874"/>
      <c r="U132" s="874"/>
      <c r="V132" s="874"/>
      <c r="W132" s="874"/>
      <c r="X132" s="874"/>
      <c r="Y132" s="874"/>
      <c r="Z132" s="874"/>
      <c r="AA132" s="874"/>
    </row>
    <row r="133" spans="1:27" ht="30" x14ac:dyDescent="0.25">
      <c r="A133" s="851"/>
      <c r="B133" s="110">
        <v>19</v>
      </c>
      <c r="C133" s="45" t="s">
        <v>314</v>
      </c>
      <c r="D133" s="554" t="str">
        <f>'Tiên lượng'!D40</f>
        <v>Đào kênh mương, chiều rộng kênh mương ≤6m bằng máy đào 0,4m3 - Cấp đất III</v>
      </c>
      <c r="E133" s="110" t="str">
        <f>'Tiên lượng'!E40</f>
        <v>100m3</v>
      </c>
      <c r="F133" s="88">
        <f>'Tiên lượng'!M40</f>
        <v>0.41360000000000008</v>
      </c>
      <c r="G133" s="26">
        <v>0</v>
      </c>
      <c r="H133" s="26">
        <v>0</v>
      </c>
      <c r="I133" s="26">
        <v>0</v>
      </c>
      <c r="J133" s="732">
        <v>0</v>
      </c>
      <c r="K133" s="732">
        <v>0</v>
      </c>
      <c r="L133" s="732">
        <v>0</v>
      </c>
      <c r="M133" s="818">
        <v>0</v>
      </c>
      <c r="N133" s="818">
        <v>0</v>
      </c>
      <c r="O133" s="818">
        <v>0</v>
      </c>
      <c r="P133" s="818">
        <v>0</v>
      </c>
      <c r="Q133" s="818">
        <v>0</v>
      </c>
      <c r="R133" s="155">
        <v>0</v>
      </c>
      <c r="S133" s="874"/>
      <c r="T133" s="874"/>
      <c r="U133" s="874"/>
      <c r="V133" s="874"/>
      <c r="W133" s="874"/>
      <c r="X133" s="874"/>
      <c r="Y133" s="874"/>
      <c r="Z133" s="874"/>
      <c r="AA133" s="874"/>
    </row>
    <row r="134" spans="1:27" x14ac:dyDescent="0.25">
      <c r="A134" s="849"/>
      <c r="B134" s="198">
        <v>0</v>
      </c>
      <c r="C134" s="121" t="s">
        <v>125</v>
      </c>
      <c r="D134" s="644" t="s">
        <v>890</v>
      </c>
      <c r="E134" s="198"/>
      <c r="F134" s="182">
        <v>0</v>
      </c>
      <c r="G134" s="114">
        <v>0</v>
      </c>
      <c r="H134" s="114"/>
      <c r="I134" s="114">
        <v>0</v>
      </c>
      <c r="J134" s="430">
        <v>0</v>
      </c>
      <c r="K134" s="430">
        <f>SUM(K135:K135)</f>
        <v>1392283.6199999999</v>
      </c>
      <c r="L134" s="430">
        <v>0</v>
      </c>
      <c r="M134" s="537">
        <f>SUM(M135:M135)</f>
        <v>1392283.6199999999</v>
      </c>
      <c r="N134" s="537">
        <v>0</v>
      </c>
      <c r="O134" s="537">
        <v>0</v>
      </c>
      <c r="P134" s="537">
        <v>0</v>
      </c>
      <c r="Q134" s="537">
        <f>SUM(Q135:Q135)</f>
        <v>1392283.6199999999</v>
      </c>
      <c r="R134" s="448">
        <v>0</v>
      </c>
      <c r="S134" s="874"/>
      <c r="T134" s="874"/>
      <c r="U134" s="874"/>
      <c r="V134" s="874"/>
      <c r="W134" s="874"/>
      <c r="X134" s="874"/>
      <c r="Y134" s="874"/>
      <c r="Z134" s="874"/>
      <c r="AA134" s="874"/>
    </row>
    <row r="135" spans="1:27" x14ac:dyDescent="0.25">
      <c r="A135" s="259"/>
      <c r="B135" s="405">
        <v>0</v>
      </c>
      <c r="C135" s="339" t="s">
        <v>591</v>
      </c>
      <c r="D135" s="828" t="str">
        <f>" - " &amp; 'Giá NC'!E5</f>
        <v xml:space="preserve"> - Nhân công bậc 3,0/7 - Nhóm 1</v>
      </c>
      <c r="E135" s="405" t="str">
        <f>'Giá NC'!F5</f>
        <v>công</v>
      </c>
      <c r="F135" s="393">
        <v>0</v>
      </c>
      <c r="G135" s="336">
        <v>6.09</v>
      </c>
      <c r="H135" s="336">
        <f>'Tiên lượng'!W40</f>
        <v>1</v>
      </c>
      <c r="I135" s="336">
        <f>PRODUCT(F133, G135, H135)</f>
        <v>2.5188240000000004</v>
      </c>
      <c r="J135" s="659">
        <f>'Giá NC'!G5</f>
        <v>228618</v>
      </c>
      <c r="K135" s="659">
        <f>PRODUCT(G135, H135, J135)</f>
        <v>1392283.6199999999</v>
      </c>
      <c r="L135" s="659">
        <f>'Giá NC'!H5</f>
        <v>228618</v>
      </c>
      <c r="M135" s="745">
        <f>PRODUCT(G135, H135, L135)</f>
        <v>1392283.6199999999</v>
      </c>
      <c r="N135" s="745">
        <v>0</v>
      </c>
      <c r="O135" s="745">
        <v>0</v>
      </c>
      <c r="P135" s="745">
        <f>'Giá NC'!K5</f>
        <v>228618</v>
      </c>
      <c r="Q135" s="745">
        <f>PRODUCT(G135, H135, P135)</f>
        <v>1392283.6199999999</v>
      </c>
      <c r="R135" s="448">
        <v>0</v>
      </c>
      <c r="S135" s="874"/>
      <c r="T135" s="874"/>
      <c r="U135" s="874"/>
      <c r="V135" s="874"/>
      <c r="W135" s="874"/>
      <c r="X135" s="874"/>
      <c r="Y135" s="874"/>
      <c r="Z135" s="874"/>
      <c r="AA135" s="874"/>
    </row>
    <row r="136" spans="1:27" x14ac:dyDescent="0.25">
      <c r="A136" s="849"/>
      <c r="B136" s="198">
        <v>0</v>
      </c>
      <c r="C136" s="121" t="s">
        <v>539</v>
      </c>
      <c r="D136" s="644" t="s">
        <v>556</v>
      </c>
      <c r="E136" s="198"/>
      <c r="F136" s="182">
        <v>0</v>
      </c>
      <c r="G136" s="114">
        <v>0</v>
      </c>
      <c r="H136" s="114"/>
      <c r="I136" s="114">
        <v>0</v>
      </c>
      <c r="J136" s="430">
        <v>0</v>
      </c>
      <c r="K136" s="430">
        <f>SUM(K137:K137)</f>
        <v>2542400</v>
      </c>
      <c r="L136" s="430">
        <v>0</v>
      </c>
      <c r="M136" s="537">
        <f>SUM(M137:M137)</f>
        <v>2542400</v>
      </c>
      <c r="N136" s="537">
        <v>0</v>
      </c>
      <c r="O136" s="537">
        <v>0</v>
      </c>
      <c r="P136" s="537">
        <v>0</v>
      </c>
      <c r="Q136" s="537">
        <f>SUM(Q137:Q137)</f>
        <v>2542400</v>
      </c>
      <c r="R136" s="448">
        <v>0</v>
      </c>
      <c r="S136" s="874"/>
      <c r="T136" s="874"/>
      <c r="U136" s="874"/>
      <c r="V136" s="874"/>
      <c r="W136" s="874"/>
      <c r="X136" s="874"/>
      <c r="Y136" s="874"/>
      <c r="Z136" s="874"/>
      <c r="AA136" s="874"/>
    </row>
    <row r="137" spans="1:27" x14ac:dyDescent="0.25">
      <c r="A137" s="801"/>
      <c r="B137" s="47">
        <v>0</v>
      </c>
      <c r="C137" s="359" t="s">
        <v>921</v>
      </c>
      <c r="D137" s="485" t="str">
        <f>" - " &amp; 'Giá Máy'!E11</f>
        <v xml:space="preserve"> - Máy đào 0,4m3</v>
      </c>
      <c r="E137" s="47" t="str">
        <f>'Giá Máy'!F11</f>
        <v>ca</v>
      </c>
      <c r="F137" s="28">
        <v>0</v>
      </c>
      <c r="G137" s="866">
        <v>0.90800000000000003</v>
      </c>
      <c r="H137" s="866">
        <f>'Tiên lượng'!X40</f>
        <v>1</v>
      </c>
      <c r="I137" s="866">
        <f>PRODUCT(F133, G137, H137)</f>
        <v>0.37554880000000007</v>
      </c>
      <c r="J137" s="676">
        <f>'Giá Máy'!G11</f>
        <v>2800000</v>
      </c>
      <c r="K137" s="676">
        <f>PRODUCT(G137, H137, J137)</f>
        <v>2542400</v>
      </c>
      <c r="L137" s="676">
        <f>'Giá Máy'!H11</f>
        <v>2800000</v>
      </c>
      <c r="M137" s="767">
        <f>PRODUCT(G137, H137, L137)</f>
        <v>2542400</v>
      </c>
      <c r="N137" s="767">
        <v>0</v>
      </c>
      <c r="O137" s="767">
        <v>0</v>
      </c>
      <c r="P137" s="767">
        <f>'Giá Máy'!O11</f>
        <v>2800000</v>
      </c>
      <c r="Q137" s="767">
        <f>PRODUCT(G137, H137, P137)</f>
        <v>2542400</v>
      </c>
      <c r="R137" s="82">
        <v>0</v>
      </c>
      <c r="S137" s="874"/>
      <c r="T137" s="874"/>
      <c r="U137" s="874"/>
      <c r="V137" s="874"/>
      <c r="W137" s="874"/>
      <c r="X137" s="874"/>
      <c r="Y137" s="874"/>
      <c r="Z137" s="874"/>
      <c r="AA137" s="874"/>
    </row>
    <row r="138" spans="1:27" ht="45" x14ac:dyDescent="0.25">
      <c r="A138" s="851"/>
      <c r="B138" s="110">
        <v>20</v>
      </c>
      <c r="C138" s="45" t="s">
        <v>80</v>
      </c>
      <c r="D138" s="554" t="str">
        <f>'Tiên lượng'!D42</f>
        <v>Đào kênh mương, rãnh thoát nước, đường ống, đường cáp bằng thủ công, rộng ≤1m, sâu ≤1m - Cấp đất III</v>
      </c>
      <c r="E138" s="110" t="str">
        <f>'Tiên lượng'!E42</f>
        <v>1m3</v>
      </c>
      <c r="F138" s="88">
        <f>'Tiên lượng'!M42</f>
        <v>17.13</v>
      </c>
      <c r="G138" s="26">
        <v>0</v>
      </c>
      <c r="H138" s="26">
        <v>0</v>
      </c>
      <c r="I138" s="26">
        <v>0</v>
      </c>
      <c r="J138" s="732">
        <v>0</v>
      </c>
      <c r="K138" s="732">
        <v>0</v>
      </c>
      <c r="L138" s="732">
        <v>0</v>
      </c>
      <c r="M138" s="818">
        <v>0</v>
      </c>
      <c r="N138" s="818">
        <v>0</v>
      </c>
      <c r="O138" s="818">
        <v>0</v>
      </c>
      <c r="P138" s="818">
        <v>0</v>
      </c>
      <c r="Q138" s="818">
        <v>0</v>
      </c>
      <c r="R138" s="155">
        <v>0</v>
      </c>
      <c r="S138" s="874"/>
      <c r="T138" s="874"/>
      <c r="U138" s="874"/>
      <c r="V138" s="874"/>
      <c r="W138" s="874"/>
      <c r="X138" s="874"/>
      <c r="Y138" s="874"/>
      <c r="Z138" s="874"/>
      <c r="AA138" s="874"/>
    </row>
    <row r="139" spans="1:27" x14ac:dyDescent="0.25">
      <c r="A139" s="849"/>
      <c r="B139" s="198">
        <v>0</v>
      </c>
      <c r="C139" s="121" t="s">
        <v>125</v>
      </c>
      <c r="D139" s="644" t="s">
        <v>890</v>
      </c>
      <c r="E139" s="198"/>
      <c r="F139" s="182">
        <v>0</v>
      </c>
      <c r="G139" s="114">
        <v>0</v>
      </c>
      <c r="H139" s="114"/>
      <c r="I139" s="114">
        <v>0</v>
      </c>
      <c r="J139" s="430">
        <v>0</v>
      </c>
      <c r="K139" s="430">
        <f>SUM(K140:K140)</f>
        <v>370361.16000000003</v>
      </c>
      <c r="L139" s="430">
        <v>0</v>
      </c>
      <c r="M139" s="537">
        <f>SUM(M140:M140)</f>
        <v>370361.16000000003</v>
      </c>
      <c r="N139" s="537">
        <v>0</v>
      </c>
      <c r="O139" s="537">
        <v>0</v>
      </c>
      <c r="P139" s="537">
        <v>0</v>
      </c>
      <c r="Q139" s="537">
        <f>SUM(Q140:Q140)</f>
        <v>370361.16000000003</v>
      </c>
      <c r="R139" s="448">
        <v>0</v>
      </c>
      <c r="S139" s="874"/>
      <c r="T139" s="874"/>
      <c r="U139" s="874"/>
      <c r="V139" s="874"/>
      <c r="W139" s="874"/>
      <c r="X139" s="874"/>
      <c r="Y139" s="874"/>
      <c r="Z139" s="874"/>
      <c r="AA139" s="874"/>
    </row>
    <row r="140" spans="1:27" x14ac:dyDescent="0.25">
      <c r="A140" s="801"/>
      <c r="B140" s="47">
        <v>0</v>
      </c>
      <c r="C140" s="359" t="s">
        <v>591</v>
      </c>
      <c r="D140" s="485" t="str">
        <f>" - " &amp; 'Giá NC'!E5</f>
        <v xml:space="preserve"> - Nhân công bậc 3,0/7 - Nhóm 1</v>
      </c>
      <c r="E140" s="47" t="str">
        <f>'Giá NC'!F5</f>
        <v>công</v>
      </c>
      <c r="F140" s="28">
        <v>0</v>
      </c>
      <c r="G140" s="866">
        <v>1.62</v>
      </c>
      <c r="H140" s="866">
        <f>'Tiên lượng'!W42</f>
        <v>1</v>
      </c>
      <c r="I140" s="866">
        <f>PRODUCT(F138, G140, H140)</f>
        <v>27.750599999999999</v>
      </c>
      <c r="J140" s="676">
        <f>'Giá NC'!G5</f>
        <v>228618</v>
      </c>
      <c r="K140" s="676">
        <f>PRODUCT(G140, H140, J140)</f>
        <v>370361.16000000003</v>
      </c>
      <c r="L140" s="676">
        <f>'Giá NC'!H5</f>
        <v>228618</v>
      </c>
      <c r="M140" s="767">
        <f>PRODUCT(G140, H140, L140)</f>
        <v>370361.16000000003</v>
      </c>
      <c r="N140" s="767">
        <v>0</v>
      </c>
      <c r="O140" s="767">
        <v>0</v>
      </c>
      <c r="P140" s="767">
        <f>'Giá NC'!K5</f>
        <v>228618</v>
      </c>
      <c r="Q140" s="767">
        <f>PRODUCT(G140, H140, P140)</f>
        <v>370361.16000000003</v>
      </c>
      <c r="R140" s="82">
        <v>0</v>
      </c>
      <c r="S140" s="874"/>
      <c r="T140" s="874"/>
      <c r="U140" s="874"/>
      <c r="V140" s="874"/>
      <c r="W140" s="874"/>
      <c r="X140" s="874"/>
      <c r="Y140" s="874"/>
      <c r="Z140" s="874"/>
      <c r="AA140" s="874"/>
    </row>
    <row r="141" spans="1:27" x14ac:dyDescent="0.25">
      <c r="A141" s="851"/>
      <c r="B141" s="110">
        <v>21</v>
      </c>
      <c r="C141" s="45" t="s">
        <v>172</v>
      </c>
      <c r="D141" s="554" t="str">
        <f>'Tiên lượng'!D44</f>
        <v>Ô tô vận chuyển đất đi đổ</v>
      </c>
      <c r="E141" s="110" t="str">
        <f>'Tiên lượng'!E44</f>
        <v>ca</v>
      </c>
      <c r="F141" s="88">
        <f>'Tiên lượng'!M44</f>
        <v>1</v>
      </c>
      <c r="G141" s="26">
        <v>0</v>
      </c>
      <c r="H141" s="26">
        <v>0</v>
      </c>
      <c r="I141" s="26">
        <v>0</v>
      </c>
      <c r="J141" s="732">
        <v>0</v>
      </c>
      <c r="K141" s="732">
        <v>0</v>
      </c>
      <c r="L141" s="732">
        <v>0</v>
      </c>
      <c r="M141" s="818">
        <v>0</v>
      </c>
      <c r="N141" s="818">
        <v>0</v>
      </c>
      <c r="O141" s="818">
        <v>0</v>
      </c>
      <c r="P141" s="818">
        <v>0</v>
      </c>
      <c r="Q141" s="818">
        <v>0</v>
      </c>
      <c r="R141" s="155">
        <v>0</v>
      </c>
      <c r="S141" s="874"/>
      <c r="T141" s="874"/>
      <c r="U141" s="874"/>
      <c r="V141" s="874"/>
      <c r="W141" s="874"/>
      <c r="X141" s="874"/>
      <c r="Y141" s="874"/>
      <c r="Z141" s="874"/>
      <c r="AA141" s="874"/>
    </row>
    <row r="142" spans="1:27" x14ac:dyDescent="0.25">
      <c r="A142" s="849"/>
      <c r="B142" s="198">
        <v>0</v>
      </c>
      <c r="C142" s="121" t="s">
        <v>479</v>
      </c>
      <c r="D142" s="644" t="s">
        <v>1372</v>
      </c>
      <c r="E142" s="198"/>
      <c r="F142" s="182">
        <v>0</v>
      </c>
      <c r="G142" s="114">
        <v>0</v>
      </c>
      <c r="H142" s="114">
        <v>1</v>
      </c>
      <c r="I142" s="114">
        <v>0</v>
      </c>
      <c r="J142" s="430">
        <v>0</v>
      </c>
      <c r="K142" s="430">
        <f>SUM(K143:K143)</f>
        <v>0</v>
      </c>
      <c r="L142" s="430">
        <v>0</v>
      </c>
      <c r="M142" s="537">
        <f>SUM(M143:M143)</f>
        <v>0</v>
      </c>
      <c r="N142" s="537">
        <v>0</v>
      </c>
      <c r="O142" s="537">
        <v>0</v>
      </c>
      <c r="P142" s="537">
        <v>0</v>
      </c>
      <c r="Q142" s="537">
        <f>SUM(Q143:Q143)</f>
        <v>0</v>
      </c>
      <c r="R142" s="448">
        <v>0</v>
      </c>
      <c r="S142" s="874"/>
      <c r="T142" s="874"/>
      <c r="U142" s="874"/>
      <c r="V142" s="874"/>
      <c r="W142" s="874"/>
      <c r="X142" s="874"/>
      <c r="Y142" s="874"/>
      <c r="Z142" s="874"/>
      <c r="AA142" s="874"/>
    </row>
    <row r="143" spans="1:27" x14ac:dyDescent="0.25">
      <c r="A143" s="259"/>
      <c r="B143" s="405">
        <v>0</v>
      </c>
      <c r="C143" s="596" t="s">
        <v>306</v>
      </c>
      <c r="D143" s="828" t="s">
        <v>864</v>
      </c>
      <c r="E143" s="405"/>
      <c r="F143" s="393">
        <v>0</v>
      </c>
      <c r="G143" s="336">
        <v>1</v>
      </c>
      <c r="H143" s="336">
        <f>'Tiên lượng'!V44</f>
        <v>1</v>
      </c>
      <c r="I143" s="336">
        <f>PRODUCT(F141, G143, H143)</f>
        <v>1</v>
      </c>
      <c r="J143" s="659">
        <v>0</v>
      </c>
      <c r="K143" s="659">
        <f>PRODUCT(G143, H143, J143)</f>
        <v>0</v>
      </c>
      <c r="L143" s="659">
        <v>0</v>
      </c>
      <c r="M143" s="745">
        <f>PRODUCT(G143, H143, L143)</f>
        <v>0</v>
      </c>
      <c r="N143" s="745">
        <v>0</v>
      </c>
      <c r="O143" s="745">
        <v>0</v>
      </c>
      <c r="P143" s="745">
        <v>0</v>
      </c>
      <c r="Q143" s="745">
        <f>PRODUCT(G143, H143, P143)</f>
        <v>0</v>
      </c>
      <c r="R143" s="448">
        <v>0</v>
      </c>
      <c r="S143" s="874"/>
      <c r="T143" s="874"/>
      <c r="U143" s="874"/>
      <c r="V143" s="874"/>
      <c r="W143" s="874"/>
      <c r="X143" s="874"/>
      <c r="Y143" s="874"/>
      <c r="Z143" s="874"/>
      <c r="AA143" s="874"/>
    </row>
    <row r="144" spans="1:27" x14ac:dyDescent="0.25">
      <c r="A144" s="849"/>
      <c r="B144" s="198">
        <v>0</v>
      </c>
      <c r="C144" s="121" t="s">
        <v>125</v>
      </c>
      <c r="D144" s="644" t="s">
        <v>890</v>
      </c>
      <c r="E144" s="198"/>
      <c r="F144" s="182">
        <v>0</v>
      </c>
      <c r="G144" s="114">
        <v>0</v>
      </c>
      <c r="H144" s="114">
        <v>1</v>
      </c>
      <c r="I144" s="114">
        <v>0</v>
      </c>
      <c r="J144" s="430">
        <v>0</v>
      </c>
      <c r="K144" s="430">
        <f>SUM(K145:K145)</f>
        <v>0</v>
      </c>
      <c r="L144" s="430">
        <v>0</v>
      </c>
      <c r="M144" s="537">
        <f>SUM(M145:M145)</f>
        <v>0</v>
      </c>
      <c r="N144" s="537">
        <v>0</v>
      </c>
      <c r="O144" s="537">
        <v>0</v>
      </c>
      <c r="P144" s="537">
        <v>0</v>
      </c>
      <c r="Q144" s="537">
        <f>SUM(Q145:Q145)</f>
        <v>0</v>
      </c>
      <c r="R144" s="448">
        <v>0</v>
      </c>
      <c r="S144" s="874"/>
      <c r="T144" s="874"/>
      <c r="U144" s="874"/>
      <c r="V144" s="874"/>
      <c r="W144" s="874"/>
      <c r="X144" s="874"/>
      <c r="Y144" s="874"/>
      <c r="Z144" s="874"/>
      <c r="AA144" s="874"/>
    </row>
    <row r="145" spans="1:27" x14ac:dyDescent="0.25">
      <c r="A145" s="259"/>
      <c r="B145" s="405">
        <v>0</v>
      </c>
      <c r="C145" s="596" t="s">
        <v>306</v>
      </c>
      <c r="D145" s="828" t="s">
        <v>492</v>
      </c>
      <c r="E145" s="405"/>
      <c r="F145" s="393">
        <v>0</v>
      </c>
      <c r="G145" s="336">
        <v>1</v>
      </c>
      <c r="H145" s="336">
        <f>'Tiên lượng'!W44</f>
        <v>1</v>
      </c>
      <c r="I145" s="336">
        <f>PRODUCT(F141, G145, H145)</f>
        <v>1</v>
      </c>
      <c r="J145" s="659">
        <v>0</v>
      </c>
      <c r="K145" s="659">
        <f>PRODUCT(G145, H145, J145)</f>
        <v>0</v>
      </c>
      <c r="L145" s="659">
        <v>0</v>
      </c>
      <c r="M145" s="745">
        <f>PRODUCT(G145, H145, L145)</f>
        <v>0</v>
      </c>
      <c r="N145" s="745">
        <v>0</v>
      </c>
      <c r="O145" s="745">
        <v>0</v>
      </c>
      <c r="P145" s="745">
        <v>0</v>
      </c>
      <c r="Q145" s="745">
        <f>PRODUCT(G145, H145, P145)</f>
        <v>0</v>
      </c>
      <c r="R145" s="448">
        <v>0</v>
      </c>
      <c r="S145" s="874"/>
      <c r="T145" s="874"/>
      <c r="U145" s="874"/>
      <c r="V145" s="874"/>
      <c r="W145" s="874"/>
      <c r="X145" s="874"/>
      <c r="Y145" s="874"/>
      <c r="Z145" s="874"/>
      <c r="AA145" s="874"/>
    </row>
    <row r="146" spans="1:27" x14ac:dyDescent="0.25">
      <c r="A146" s="849"/>
      <c r="B146" s="198">
        <v>0</v>
      </c>
      <c r="C146" s="121" t="s">
        <v>539</v>
      </c>
      <c r="D146" s="644" t="s">
        <v>556</v>
      </c>
      <c r="E146" s="198"/>
      <c r="F146" s="182">
        <v>0</v>
      </c>
      <c r="G146" s="114">
        <v>0</v>
      </c>
      <c r="H146" s="114">
        <v>1</v>
      </c>
      <c r="I146" s="114">
        <v>0</v>
      </c>
      <c r="J146" s="430">
        <v>0</v>
      </c>
      <c r="K146" s="430">
        <f>SUM(K147:K147)</f>
        <v>2000000</v>
      </c>
      <c r="L146" s="430">
        <v>0</v>
      </c>
      <c r="M146" s="537">
        <f>SUM(M147:M147)</f>
        <v>2000000</v>
      </c>
      <c r="N146" s="537">
        <v>0</v>
      </c>
      <c r="O146" s="537">
        <v>0</v>
      </c>
      <c r="P146" s="537">
        <v>0</v>
      </c>
      <c r="Q146" s="537">
        <f>SUM(Q147:Q147)</f>
        <v>2000000</v>
      </c>
      <c r="R146" s="448">
        <v>0</v>
      </c>
      <c r="S146" s="874"/>
      <c r="T146" s="874"/>
      <c r="U146" s="874"/>
      <c r="V146" s="874"/>
      <c r="W146" s="874"/>
      <c r="X146" s="874"/>
      <c r="Y146" s="874"/>
      <c r="Z146" s="874"/>
      <c r="AA146" s="874"/>
    </row>
    <row r="147" spans="1:27" x14ac:dyDescent="0.25">
      <c r="A147" s="801"/>
      <c r="B147" s="47">
        <v>0</v>
      </c>
      <c r="C147" s="616" t="s">
        <v>306</v>
      </c>
      <c r="D147" s="485" t="s">
        <v>6</v>
      </c>
      <c r="E147" s="47"/>
      <c r="F147" s="28">
        <v>0</v>
      </c>
      <c r="G147" s="866">
        <v>1</v>
      </c>
      <c r="H147" s="866">
        <f>'Tiên lượng'!X44</f>
        <v>1</v>
      </c>
      <c r="I147" s="866">
        <f>PRODUCT(F141, G147, H147)</f>
        <v>1</v>
      </c>
      <c r="J147" s="676">
        <v>2000000</v>
      </c>
      <c r="K147" s="676">
        <f>PRODUCT(G147, H147, J147)</f>
        <v>2000000</v>
      </c>
      <c r="L147" s="676">
        <v>2000000</v>
      </c>
      <c r="M147" s="767">
        <f>PRODUCT(G147, H147, L147)</f>
        <v>2000000</v>
      </c>
      <c r="N147" s="767">
        <v>0</v>
      </c>
      <c r="O147" s="767">
        <v>0</v>
      </c>
      <c r="P147" s="767">
        <v>2000000</v>
      </c>
      <c r="Q147" s="767">
        <f>PRODUCT(G147, H147, P147)</f>
        <v>2000000</v>
      </c>
      <c r="R147" s="82">
        <v>0</v>
      </c>
      <c r="S147" s="874"/>
      <c r="T147" s="874"/>
      <c r="U147" s="874"/>
      <c r="V147" s="874"/>
      <c r="W147" s="874"/>
      <c r="X147" s="874"/>
      <c r="Y147" s="874"/>
      <c r="Z147" s="874"/>
      <c r="AA147" s="874"/>
    </row>
    <row r="148" spans="1:27" ht="30" x14ac:dyDescent="0.25">
      <c r="A148" s="851"/>
      <c r="B148" s="110">
        <v>22</v>
      </c>
      <c r="C148" s="45" t="s">
        <v>649</v>
      </c>
      <c r="D148" s="554" t="str">
        <f>'Tiên lượng'!D45</f>
        <v>Đắp phụ nền, lề đường bằng Đá dăm cấp phối loại II (Subbase)</v>
      </c>
      <c r="E148" s="110" t="str">
        <f>'Tiên lượng'!E45</f>
        <v>m3</v>
      </c>
      <c r="F148" s="88">
        <f>'Tiên lượng'!M45</f>
        <v>113.74000000000001</v>
      </c>
      <c r="G148" s="26">
        <v>0</v>
      </c>
      <c r="H148" s="26">
        <v>0</v>
      </c>
      <c r="I148" s="26">
        <v>0</v>
      </c>
      <c r="J148" s="732">
        <v>0</v>
      </c>
      <c r="K148" s="732">
        <v>0</v>
      </c>
      <c r="L148" s="732">
        <v>0</v>
      </c>
      <c r="M148" s="818">
        <v>0</v>
      </c>
      <c r="N148" s="818">
        <v>0</v>
      </c>
      <c r="O148" s="818">
        <v>0</v>
      </c>
      <c r="P148" s="818">
        <v>0</v>
      </c>
      <c r="Q148" s="818">
        <v>0</v>
      </c>
      <c r="R148" s="155">
        <v>0</v>
      </c>
      <c r="S148" s="874"/>
      <c r="T148" s="874"/>
      <c r="U148" s="874"/>
      <c r="V148" s="874"/>
      <c r="W148" s="874"/>
      <c r="X148" s="874"/>
      <c r="Y148" s="874"/>
      <c r="Z148" s="874"/>
      <c r="AA148" s="874"/>
    </row>
    <row r="149" spans="1:27" x14ac:dyDescent="0.25">
      <c r="A149" s="849"/>
      <c r="B149" s="198">
        <v>0</v>
      </c>
      <c r="C149" s="121" t="s">
        <v>479</v>
      </c>
      <c r="D149" s="644" t="s">
        <v>1372</v>
      </c>
      <c r="E149" s="198"/>
      <c r="F149" s="182">
        <v>0</v>
      </c>
      <c r="G149" s="114">
        <v>0</v>
      </c>
      <c r="H149" s="114"/>
      <c r="I149" s="114">
        <v>0</v>
      </c>
      <c r="J149" s="430">
        <v>0</v>
      </c>
      <c r="K149" s="430">
        <f>SUM(K150:K150)</f>
        <v>313500</v>
      </c>
      <c r="L149" s="430">
        <v>0</v>
      </c>
      <c r="M149" s="537">
        <f>SUM(M150:M150)</f>
        <v>356250</v>
      </c>
      <c r="N149" s="537">
        <v>0</v>
      </c>
      <c r="O149" s="537">
        <v>0</v>
      </c>
      <c r="P149" s="537">
        <v>0</v>
      </c>
      <c r="Q149" s="537">
        <f>SUM(Q150:Q150)</f>
        <v>564978.53624789999</v>
      </c>
      <c r="R149" s="448">
        <v>0</v>
      </c>
      <c r="S149" s="874"/>
      <c r="T149" s="874"/>
      <c r="U149" s="874"/>
      <c r="V149" s="874"/>
      <c r="W149" s="874"/>
      <c r="X149" s="874"/>
      <c r="Y149" s="874"/>
      <c r="Z149" s="874"/>
      <c r="AA149" s="874"/>
    </row>
    <row r="150" spans="1:27" x14ac:dyDescent="0.25">
      <c r="A150" s="259"/>
      <c r="B150" s="405">
        <v>0</v>
      </c>
      <c r="C150" s="339" t="s">
        <v>142</v>
      </c>
      <c r="D150" s="828" t="str">
        <f>" - " &amp; 'Giá VL'!E8</f>
        <v xml:space="preserve"> - Đá Base B</v>
      </c>
      <c r="E150" s="405" t="str">
        <f>'Giá VL'!F8</f>
        <v>m3</v>
      </c>
      <c r="F150" s="393">
        <v>0</v>
      </c>
      <c r="G150" s="336">
        <v>1.425</v>
      </c>
      <c r="H150" s="336">
        <f>'Tiên lượng'!V45</f>
        <v>1</v>
      </c>
      <c r="I150" s="336">
        <f>PRODUCT(F148, G150, H150)</f>
        <v>162.07950000000002</v>
      </c>
      <c r="J150" s="659">
        <f>'Giá VL'!G8</f>
        <v>220000</v>
      </c>
      <c r="K150" s="659">
        <f>PRODUCT(G150, H150, J150)</f>
        <v>313500</v>
      </c>
      <c r="L150" s="659">
        <f>'Giá VL'!J8</f>
        <v>250000</v>
      </c>
      <c r="M150" s="745">
        <f>PRODUCT(G150, H150, L150)</f>
        <v>356250</v>
      </c>
      <c r="N150" s="745">
        <v>0</v>
      </c>
      <c r="O150" s="745">
        <v>0</v>
      </c>
      <c r="P150" s="745">
        <f>'Giá VL'!V8</f>
        <v>396476.16578799998</v>
      </c>
      <c r="Q150" s="745">
        <f>PRODUCT(G150, H150, P150)</f>
        <v>564978.53624789999</v>
      </c>
      <c r="R150" s="448">
        <v>0</v>
      </c>
      <c r="S150" s="874"/>
      <c r="T150" s="874"/>
      <c r="U150" s="874"/>
      <c r="V150" s="874"/>
      <c r="W150" s="874"/>
      <c r="X150" s="874"/>
      <c r="Y150" s="874"/>
      <c r="Z150" s="874"/>
      <c r="AA150" s="874"/>
    </row>
    <row r="151" spans="1:27" x14ac:dyDescent="0.25">
      <c r="A151" s="849"/>
      <c r="B151" s="198">
        <v>0</v>
      </c>
      <c r="C151" s="121" t="s">
        <v>125</v>
      </c>
      <c r="D151" s="644" t="s">
        <v>890</v>
      </c>
      <c r="E151" s="198"/>
      <c r="F151" s="182">
        <v>0</v>
      </c>
      <c r="G151" s="114">
        <v>0</v>
      </c>
      <c r="H151" s="114"/>
      <c r="I151" s="114">
        <v>0</v>
      </c>
      <c r="J151" s="430">
        <v>0</v>
      </c>
      <c r="K151" s="430">
        <f>SUM(K152:K152)</f>
        <v>67500</v>
      </c>
      <c r="L151" s="430">
        <v>0</v>
      </c>
      <c r="M151" s="537">
        <f>SUM(M152:M152)</f>
        <v>67500</v>
      </c>
      <c r="N151" s="537">
        <v>0</v>
      </c>
      <c r="O151" s="537">
        <v>0</v>
      </c>
      <c r="P151" s="537">
        <v>0</v>
      </c>
      <c r="Q151" s="537">
        <f>SUM(Q152:Q152)</f>
        <v>67500</v>
      </c>
      <c r="R151" s="448">
        <v>0</v>
      </c>
      <c r="S151" s="874"/>
      <c r="T151" s="874"/>
      <c r="U151" s="874"/>
      <c r="V151" s="874"/>
      <c r="W151" s="874"/>
      <c r="X151" s="874"/>
      <c r="Y151" s="874"/>
      <c r="Z151" s="874"/>
      <c r="AA151" s="874"/>
    </row>
    <row r="152" spans="1:27" x14ac:dyDescent="0.25">
      <c r="A152" s="259"/>
      <c r="B152" s="405">
        <v>0</v>
      </c>
      <c r="C152" s="339" t="s">
        <v>1055</v>
      </c>
      <c r="D152" s="828" t="str">
        <f>" - " &amp; 'Giá NC'!E7</f>
        <v xml:space="preserve"> - Nhân công bậc 3,5/7 - Nhóm 2</v>
      </c>
      <c r="E152" s="405" t="str">
        <f>'Giá NC'!F7</f>
        <v>công</v>
      </c>
      <c r="F152" s="393">
        <v>0</v>
      </c>
      <c r="G152" s="336">
        <v>0.25</v>
      </c>
      <c r="H152" s="336">
        <f>'Tiên lượng'!W45</f>
        <v>1</v>
      </c>
      <c r="I152" s="336">
        <f>PRODUCT(F148, G152, H152)</f>
        <v>28.435000000000002</v>
      </c>
      <c r="J152" s="659">
        <f>'Giá NC'!G7</f>
        <v>270000</v>
      </c>
      <c r="K152" s="659">
        <f>PRODUCT(G152, H152, J152)</f>
        <v>67500</v>
      </c>
      <c r="L152" s="659">
        <f>'Giá NC'!H7</f>
        <v>270000</v>
      </c>
      <c r="M152" s="745">
        <f>PRODUCT(G152, H152, L152)</f>
        <v>67500</v>
      </c>
      <c r="N152" s="745">
        <v>0</v>
      </c>
      <c r="O152" s="745">
        <v>0</v>
      </c>
      <c r="P152" s="745">
        <f>'Giá NC'!K7</f>
        <v>270000</v>
      </c>
      <c r="Q152" s="745">
        <f>PRODUCT(G152, H152, P152)</f>
        <v>67500</v>
      </c>
      <c r="R152" s="448">
        <v>0</v>
      </c>
      <c r="S152" s="874"/>
      <c r="T152" s="874"/>
      <c r="U152" s="874"/>
      <c r="V152" s="874"/>
      <c r="W152" s="874"/>
      <c r="X152" s="874"/>
      <c r="Y152" s="874"/>
      <c r="Z152" s="874"/>
      <c r="AA152" s="874"/>
    </row>
    <row r="153" spans="1:27" x14ac:dyDescent="0.25">
      <c r="A153" s="849"/>
      <c r="B153" s="198">
        <v>0</v>
      </c>
      <c r="C153" s="121" t="s">
        <v>539</v>
      </c>
      <c r="D153" s="644" t="s">
        <v>556</v>
      </c>
      <c r="E153" s="198"/>
      <c r="F153" s="182">
        <v>0</v>
      </c>
      <c r="G153" s="114">
        <v>0</v>
      </c>
      <c r="H153" s="114"/>
      <c r="I153" s="114">
        <v>0</v>
      </c>
      <c r="J153" s="430">
        <v>0</v>
      </c>
      <c r="K153" s="430">
        <f>SUM(K154:K154)</f>
        <v>42500</v>
      </c>
      <c r="L153" s="430">
        <v>0</v>
      </c>
      <c r="M153" s="537">
        <f>SUM(M154:M154)</f>
        <v>42500</v>
      </c>
      <c r="N153" s="537">
        <v>0</v>
      </c>
      <c r="O153" s="537">
        <v>0</v>
      </c>
      <c r="P153" s="537">
        <v>0</v>
      </c>
      <c r="Q153" s="537">
        <f>SUM(Q154:Q154)</f>
        <v>42500</v>
      </c>
      <c r="R153" s="448">
        <v>0</v>
      </c>
      <c r="S153" s="874"/>
      <c r="T153" s="874"/>
      <c r="U153" s="874"/>
      <c r="V153" s="874"/>
      <c r="W153" s="874"/>
      <c r="X153" s="874"/>
      <c r="Y153" s="874"/>
      <c r="Z153" s="874"/>
      <c r="AA153" s="874"/>
    </row>
    <row r="154" spans="1:27" x14ac:dyDescent="0.25">
      <c r="A154" s="801"/>
      <c r="B154" s="47">
        <v>0</v>
      </c>
      <c r="C154" s="359" t="s">
        <v>928</v>
      </c>
      <c r="D154" s="485" t="str">
        <f>" - " &amp; 'Giá Máy'!E9</f>
        <v xml:space="preserve"> - Máy đầm cóc</v>
      </c>
      <c r="E154" s="47" t="str">
        <f>'Giá Máy'!F9</f>
        <v>ca</v>
      </c>
      <c r="F154" s="28">
        <v>0</v>
      </c>
      <c r="G154" s="866">
        <v>0.05</v>
      </c>
      <c r="H154" s="866">
        <f>'Tiên lượng'!X45</f>
        <v>1</v>
      </c>
      <c r="I154" s="866">
        <f>PRODUCT(F148, G154, H154)</f>
        <v>5.6870000000000012</v>
      </c>
      <c r="J154" s="676">
        <f>'Giá Máy'!G9</f>
        <v>850000</v>
      </c>
      <c r="K154" s="676">
        <f>PRODUCT(G154, H154, J154)</f>
        <v>42500</v>
      </c>
      <c r="L154" s="676">
        <f>'Giá Máy'!H9</f>
        <v>850000</v>
      </c>
      <c r="M154" s="767">
        <f>PRODUCT(G154, H154, L154)</f>
        <v>42500</v>
      </c>
      <c r="N154" s="767">
        <v>0</v>
      </c>
      <c r="O154" s="767">
        <v>0</v>
      </c>
      <c r="P154" s="767">
        <f>'Giá Máy'!O9</f>
        <v>850000</v>
      </c>
      <c r="Q154" s="767">
        <f>PRODUCT(G154, H154, P154)</f>
        <v>42500</v>
      </c>
      <c r="R154" s="82">
        <v>0</v>
      </c>
      <c r="S154" s="874"/>
      <c r="T154" s="874"/>
      <c r="U154" s="874"/>
      <c r="V154" s="874"/>
      <c r="W154" s="874"/>
      <c r="X154" s="874"/>
      <c r="Y154" s="874"/>
      <c r="Z154" s="874"/>
      <c r="AA154" s="874"/>
    </row>
    <row r="155" spans="1:27" x14ac:dyDescent="0.25">
      <c r="B155" s="874"/>
      <c r="C155" s="864"/>
      <c r="D155" s="874"/>
      <c r="E155" s="874"/>
      <c r="F155" s="874"/>
      <c r="G155" s="874"/>
      <c r="H155" s="874"/>
      <c r="I155" s="874"/>
      <c r="J155" s="874"/>
      <c r="K155" s="874"/>
      <c r="L155" s="874"/>
      <c r="M155" s="874"/>
      <c r="N155" s="874"/>
      <c r="O155" s="874"/>
      <c r="P155" s="874"/>
      <c r="Q155" s="874"/>
      <c r="R155" s="874"/>
      <c r="S155" s="874"/>
      <c r="T155" s="874"/>
      <c r="U155" s="874"/>
      <c r="V155" s="874"/>
      <c r="W155" s="874"/>
      <c r="X155" s="874"/>
      <c r="Y155" s="874"/>
      <c r="Z155" s="874"/>
      <c r="AA155" s="874"/>
    </row>
    <row r="156" spans="1:27" x14ac:dyDescent="0.25">
      <c r="B156" s="874"/>
      <c r="C156" s="864"/>
      <c r="D156" s="874"/>
      <c r="E156" s="874"/>
      <c r="F156" s="874"/>
      <c r="G156" s="874"/>
      <c r="H156" s="874"/>
      <c r="I156" s="874"/>
      <c r="J156" s="874"/>
      <c r="K156" s="874"/>
      <c r="L156" s="874"/>
      <c r="M156" s="874"/>
      <c r="N156" s="874"/>
      <c r="O156" s="874"/>
      <c r="P156" s="874"/>
      <c r="Q156" s="874"/>
      <c r="R156" s="874"/>
      <c r="S156" s="874"/>
      <c r="T156" s="874"/>
      <c r="U156" s="874"/>
      <c r="V156" s="874"/>
      <c r="W156" s="874"/>
      <c r="X156" s="874"/>
      <c r="Y156" s="874"/>
      <c r="Z156" s="874"/>
      <c r="AA156" s="874"/>
    </row>
    <row r="157" spans="1:27" x14ac:dyDescent="0.25">
      <c r="B157" s="874"/>
      <c r="C157" s="864"/>
      <c r="D157" s="874"/>
      <c r="E157" s="874"/>
      <c r="F157" s="874"/>
      <c r="G157" s="874"/>
      <c r="H157" s="874"/>
      <c r="I157" s="874"/>
      <c r="J157" s="874"/>
      <c r="K157" s="874"/>
      <c r="L157" s="874"/>
      <c r="M157" s="874"/>
      <c r="N157" s="874"/>
      <c r="O157" s="874"/>
      <c r="P157" s="874"/>
      <c r="Q157" s="874"/>
      <c r="R157" s="874"/>
      <c r="S157" s="874"/>
      <c r="T157" s="874"/>
      <c r="U157" s="874"/>
      <c r="V157" s="874"/>
      <c r="W157" s="874"/>
      <c r="X157" s="874"/>
      <c r="Y157" s="874"/>
      <c r="Z157" s="874"/>
      <c r="AA157" s="874"/>
    </row>
  </sheetData>
  <mergeCells count="12">
    <mergeCell ref="R4:R5"/>
    <mergeCell ref="P4:Q4"/>
    <mergeCell ref="A1:Q1"/>
    <mergeCell ref="A2:Q2"/>
    <mergeCell ref="A3:Q3"/>
    <mergeCell ref="B4:B5"/>
    <mergeCell ref="C4:C5"/>
    <mergeCell ref="D4:D5"/>
    <mergeCell ref="E4:E5"/>
    <mergeCell ref="F4:I4"/>
    <mergeCell ref="J4:K4"/>
    <mergeCell ref="L4:M4"/>
  </mergeCells>
  <conditionalFormatting sqref="H4:H5">
    <cfRule type="cellIs" dxfId="2" priority="1" stopIfTrue="1" operator="equal">
      <formula>1</formula>
    </cfRule>
  </conditionalFormatting>
  <conditionalFormatting sqref="H6:H155">
    <cfRule type="cellIs" dxfId="1" priority="2" stopIfTrue="1" operator="equal">
      <formula>1</formula>
    </cfRule>
  </conditionalFormatting>
  <pageMargins left="0.5" right="0.5" top="0.79" bottom="0.79" header="0.3" footer="0.3"/>
  <pageSetup paperSize="9" scale="75" orientation="portrait" useFirstPageNumber="1" horizontalDpi="65532"/>
  <headerFooter>
    <oddFooter>&amp;CTrang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indexed="13"/>
  </sheetPr>
  <dimension ref="A1:AA14"/>
  <sheetViews>
    <sheetView showZeros="0" topLeftCell="B1" workbookViewId="0">
      <selection activeCell="B13" sqref="B13:H13"/>
    </sheetView>
  </sheetViews>
  <sheetFormatPr defaultColWidth="9.140625" defaultRowHeight="15" x14ac:dyDescent="0.25"/>
  <cols>
    <col min="1" max="1" width="9.140625" style="794" hidden="1" customWidth="1"/>
    <col min="2" max="2" width="9.42578125" style="794" customWidth="1"/>
    <col min="3" max="9" width="10.42578125" style="794" customWidth="1"/>
    <col min="10" max="10" width="10.28515625" style="794" customWidth="1"/>
    <col min="11" max="11" width="10.42578125" style="794" customWidth="1"/>
    <col min="12" max="12" width="9.7109375" style="794" customWidth="1"/>
    <col min="13" max="15" width="9" style="794" customWidth="1"/>
    <col min="16" max="16384" width="9.140625" style="794"/>
  </cols>
  <sheetData>
    <row r="1" spans="1:27" ht="15.75" x14ac:dyDescent="0.25">
      <c r="J1" s="1205" t="s">
        <v>1434</v>
      </c>
      <c r="K1" s="1205"/>
      <c r="L1" s="1205"/>
      <c r="M1" s="1205"/>
      <c r="N1" s="1205"/>
      <c r="O1" s="1205"/>
    </row>
    <row r="2" spans="1:27" ht="16.5" x14ac:dyDescent="0.25">
      <c r="B2" s="1082"/>
      <c r="C2" s="1082"/>
      <c r="D2" s="1082"/>
      <c r="E2" s="1082"/>
      <c r="F2" s="1082"/>
      <c r="J2" s="1206" t="s">
        <v>189</v>
      </c>
      <c r="K2" s="1206"/>
      <c r="L2" s="1206"/>
      <c r="M2" s="1206"/>
      <c r="N2" s="1206"/>
      <c r="O2" s="1206"/>
    </row>
    <row r="3" spans="1:27" ht="16.5" x14ac:dyDescent="0.25">
      <c r="J3" s="1207" t="s">
        <v>289</v>
      </c>
      <c r="K3" s="1208"/>
      <c r="L3" s="1208"/>
      <c r="M3" s="1208"/>
      <c r="N3" s="1208"/>
      <c r="O3" s="1208"/>
    </row>
    <row r="4" spans="1:27" x14ac:dyDescent="0.25">
      <c r="B4" s="874"/>
      <c r="C4" s="874"/>
      <c r="D4" s="874"/>
      <c r="E4" s="874"/>
      <c r="F4" s="874"/>
      <c r="G4" s="874"/>
      <c r="H4" s="874"/>
      <c r="I4" s="874"/>
      <c r="J4" s="874"/>
      <c r="K4" s="874"/>
      <c r="L4" s="874"/>
      <c r="M4" s="874"/>
      <c r="N4" s="874"/>
      <c r="O4" s="874"/>
      <c r="P4" s="874"/>
      <c r="Q4" s="874"/>
      <c r="R4" s="874"/>
      <c r="S4" s="874"/>
      <c r="T4" s="874"/>
      <c r="U4" s="874"/>
      <c r="V4" s="874"/>
      <c r="W4" s="874"/>
      <c r="X4" s="874"/>
      <c r="Y4" s="874"/>
      <c r="Z4" s="874"/>
      <c r="AA4" s="874"/>
    </row>
    <row r="5" spans="1:27" x14ac:dyDescent="0.25">
      <c r="B5" s="874"/>
      <c r="C5" s="874"/>
      <c r="D5" s="874"/>
      <c r="E5" s="874"/>
      <c r="F5" s="874"/>
      <c r="G5" s="874"/>
      <c r="H5" s="874"/>
      <c r="I5" s="874"/>
      <c r="J5" s="874"/>
      <c r="K5" s="874"/>
      <c r="L5" s="874"/>
      <c r="M5" s="874"/>
      <c r="N5" s="874"/>
      <c r="O5" s="874"/>
      <c r="P5" s="874"/>
      <c r="Q5" s="874"/>
      <c r="R5" s="874"/>
      <c r="S5" s="874"/>
      <c r="T5" s="874"/>
      <c r="U5" s="874"/>
      <c r="V5" s="874"/>
      <c r="W5" s="874"/>
      <c r="X5" s="874"/>
      <c r="Y5" s="874"/>
      <c r="Z5" s="874"/>
      <c r="AA5" s="874"/>
    </row>
    <row r="6" spans="1:27" x14ac:dyDescent="0.25">
      <c r="B6" s="874"/>
      <c r="C6" s="874"/>
      <c r="D6" s="874"/>
      <c r="E6" s="874"/>
      <c r="F6" s="874"/>
      <c r="G6" s="874"/>
      <c r="H6" s="874"/>
      <c r="I6" s="874"/>
      <c r="J6" s="874"/>
      <c r="K6" s="874"/>
      <c r="L6" s="874"/>
      <c r="M6" s="874"/>
      <c r="N6" s="874"/>
      <c r="O6" s="874"/>
      <c r="P6" s="874"/>
      <c r="Q6" s="874"/>
      <c r="R6" s="874"/>
      <c r="S6" s="874"/>
      <c r="T6" s="874"/>
      <c r="U6" s="874"/>
      <c r="V6" s="874"/>
      <c r="W6" s="874"/>
      <c r="X6" s="874"/>
      <c r="Y6" s="874"/>
      <c r="Z6" s="874"/>
      <c r="AA6" s="874"/>
    </row>
    <row r="7" spans="1:27" x14ac:dyDescent="0.25">
      <c r="B7" s="1209" t="s">
        <v>1230</v>
      </c>
      <c r="C7" s="1209"/>
      <c r="D7" s="1209"/>
      <c r="E7" s="1209"/>
      <c r="F7" s="1209"/>
      <c r="G7" s="1209"/>
      <c r="H7" s="1209"/>
      <c r="I7" s="1209"/>
      <c r="J7" s="1209"/>
      <c r="K7" s="1209"/>
      <c r="L7" s="1209"/>
      <c r="M7" s="1209"/>
      <c r="N7" s="1209"/>
      <c r="O7" s="1209"/>
      <c r="P7" s="874"/>
      <c r="Q7" s="874"/>
      <c r="R7" s="874"/>
      <c r="S7" s="874"/>
      <c r="T7" s="874"/>
      <c r="U7" s="874"/>
      <c r="V7" s="874"/>
      <c r="W7" s="874"/>
      <c r="X7" s="874"/>
      <c r="Y7" s="874"/>
      <c r="Z7" s="874"/>
      <c r="AA7" s="874"/>
    </row>
    <row r="8" spans="1:27" x14ac:dyDescent="0.25">
      <c r="B8" s="1209" t="s">
        <v>197</v>
      </c>
      <c r="C8" s="1209"/>
      <c r="D8" s="1209"/>
      <c r="E8" s="1209"/>
      <c r="F8" s="1209"/>
      <c r="G8" s="1209"/>
      <c r="H8" s="1209"/>
      <c r="I8" s="1209"/>
      <c r="J8" s="1209"/>
      <c r="K8" s="1209"/>
      <c r="L8" s="1209"/>
      <c r="M8" s="1209"/>
      <c r="N8" s="1209"/>
      <c r="O8" s="1209"/>
      <c r="P8" s="874"/>
      <c r="Q8" s="874"/>
      <c r="R8" s="874"/>
      <c r="S8" s="874"/>
      <c r="T8" s="874"/>
      <c r="U8" s="874"/>
      <c r="V8" s="874"/>
      <c r="W8" s="874"/>
      <c r="X8" s="874"/>
      <c r="Y8" s="874"/>
      <c r="Z8" s="874"/>
      <c r="AA8" s="874"/>
    </row>
    <row r="9" spans="1:27" x14ac:dyDescent="0.25">
      <c r="B9" s="1204" t="s">
        <v>814</v>
      </c>
      <c r="C9" s="1204"/>
      <c r="D9" s="1204"/>
      <c r="E9" s="1204"/>
      <c r="F9" s="1204"/>
      <c r="G9" s="1204"/>
      <c r="H9" s="1204"/>
      <c r="I9" s="1204"/>
      <c r="J9" s="1204"/>
      <c r="K9" s="1204"/>
      <c r="L9" s="1204"/>
      <c r="M9" s="1204"/>
      <c r="N9" s="1204"/>
      <c r="O9" s="1204"/>
      <c r="P9" s="874"/>
      <c r="Q9" s="874"/>
      <c r="R9" s="874"/>
      <c r="S9" s="874"/>
      <c r="T9" s="874"/>
      <c r="U9" s="874"/>
      <c r="V9" s="874"/>
      <c r="W9" s="874"/>
      <c r="X9" s="874"/>
      <c r="Y9" s="874"/>
      <c r="Z9" s="874"/>
      <c r="AA9" s="874"/>
    </row>
    <row r="10" spans="1:27" ht="18" customHeight="1" x14ac:dyDescent="0.25">
      <c r="B10" s="781" t="s">
        <v>1323</v>
      </c>
      <c r="C10" s="1100" t="s">
        <v>24</v>
      </c>
      <c r="D10" s="1100"/>
      <c r="E10" s="1100"/>
      <c r="F10" s="1100"/>
      <c r="G10" s="1100"/>
      <c r="H10" s="1100"/>
      <c r="I10" s="1100"/>
      <c r="J10" s="1100" t="s">
        <v>887</v>
      </c>
      <c r="K10" s="1100"/>
      <c r="L10" s="1100"/>
      <c r="M10" s="1100" t="s">
        <v>1056</v>
      </c>
      <c r="N10" s="1100"/>
      <c r="O10" s="1100"/>
      <c r="P10" s="874"/>
      <c r="Q10" s="874"/>
      <c r="R10" s="874"/>
      <c r="S10" s="874"/>
      <c r="T10" s="874"/>
      <c r="U10" s="874"/>
      <c r="V10" s="874"/>
      <c r="W10" s="874"/>
      <c r="X10" s="874"/>
      <c r="Y10" s="874"/>
      <c r="Z10" s="874"/>
      <c r="AA10" s="874"/>
    </row>
    <row r="11" spans="1:27" x14ac:dyDescent="0.25">
      <c r="A11" s="61"/>
      <c r="B11" s="180">
        <v>1</v>
      </c>
      <c r="C11" s="1211" t="s">
        <v>1282</v>
      </c>
      <c r="D11" s="1211"/>
      <c r="E11" s="1211"/>
      <c r="F11" s="1211"/>
      <c r="G11" s="1211"/>
      <c r="H11" s="1211"/>
      <c r="I11" s="1211"/>
      <c r="J11" s="1212">
        <f>ĐGTH!H31</f>
        <v>1235009358.1951406</v>
      </c>
      <c r="K11" s="1211"/>
      <c r="L11" s="1211"/>
      <c r="M11" s="1211"/>
      <c r="N11" s="1211"/>
      <c r="O11" s="1211"/>
      <c r="P11" s="874"/>
      <c r="Q11" s="874"/>
      <c r="R11" s="874"/>
      <c r="S11" s="874"/>
      <c r="T11" s="874"/>
      <c r="U11" s="874"/>
      <c r="V11" s="874"/>
      <c r="W11" s="874"/>
      <c r="X11" s="874"/>
      <c r="Y11" s="874"/>
      <c r="Z11" s="874"/>
      <c r="AA11" s="874"/>
    </row>
    <row r="12" spans="1:27" x14ac:dyDescent="0.25">
      <c r="A12" s="146"/>
      <c r="B12" s="277"/>
      <c r="C12" s="1213" t="s">
        <v>1197</v>
      </c>
      <c r="D12" s="1213"/>
      <c r="E12" s="1213"/>
      <c r="F12" s="1213"/>
      <c r="G12" s="1213"/>
      <c r="H12" s="1213"/>
      <c r="I12" s="1213"/>
      <c r="J12" s="1214">
        <f>SUM(J11:L11)</f>
        <v>1235009358.1951406</v>
      </c>
      <c r="K12" s="1213"/>
      <c r="L12" s="1213"/>
      <c r="M12" s="1213"/>
      <c r="N12" s="1213"/>
      <c r="O12" s="1213"/>
      <c r="P12" s="874"/>
      <c r="Q12" s="874"/>
      <c r="R12" s="874"/>
      <c r="S12" s="874"/>
      <c r="T12" s="874"/>
      <c r="U12" s="874"/>
      <c r="V12" s="874"/>
      <c r="W12" s="874"/>
      <c r="X12" s="874"/>
      <c r="Y12" s="874"/>
      <c r="Z12" s="874"/>
      <c r="AA12" s="874"/>
    </row>
    <row r="13" spans="1:27" x14ac:dyDescent="0.25">
      <c r="B13" s="1210" t="s">
        <v>375</v>
      </c>
      <c r="C13" s="1210" t="s">
        <v>375</v>
      </c>
      <c r="D13" s="1210" t="s">
        <v>375</v>
      </c>
      <c r="E13" s="1210" t="s">
        <v>375</v>
      </c>
      <c r="F13" s="1210" t="s">
        <v>375</v>
      </c>
      <c r="G13" s="1210" t="s">
        <v>375</v>
      </c>
      <c r="H13" s="1210" t="s">
        <v>375</v>
      </c>
      <c r="I13" s="1210" t="s">
        <v>375</v>
      </c>
      <c r="J13" s="1210" t="s">
        <v>375</v>
      </c>
      <c r="K13" s="1210" t="s">
        <v>375</v>
      </c>
      <c r="L13" s="1210" t="s">
        <v>375</v>
      </c>
      <c r="M13" s="1210" t="s">
        <v>375</v>
      </c>
      <c r="N13" s="1210" t="s">
        <v>375</v>
      </c>
      <c r="O13" s="1210" t="s">
        <v>375</v>
      </c>
      <c r="P13" s="874"/>
      <c r="Q13" s="874"/>
      <c r="R13" s="874"/>
      <c r="S13" s="874"/>
      <c r="T13" s="874"/>
      <c r="U13" s="874"/>
      <c r="V13" s="874"/>
      <c r="W13" s="874"/>
      <c r="X13" s="874"/>
      <c r="Y13" s="874"/>
      <c r="Z13" s="874"/>
      <c r="AA13" s="874"/>
    </row>
    <row r="14" spans="1:27" x14ac:dyDescent="0.25">
      <c r="B14" s="874"/>
      <c r="C14" s="874"/>
      <c r="D14" s="874"/>
      <c r="E14" s="874"/>
      <c r="F14" s="874"/>
      <c r="G14" s="874"/>
      <c r="H14" s="874"/>
      <c r="I14" s="874"/>
      <c r="J14" s="874"/>
      <c r="K14" s="874"/>
      <c r="L14" s="874"/>
      <c r="M14" s="874"/>
      <c r="N14" s="874"/>
      <c r="O14" s="874"/>
      <c r="P14" s="874"/>
      <c r="Q14" s="874"/>
      <c r="R14" s="874"/>
      <c r="S14" s="874"/>
      <c r="T14" s="874"/>
      <c r="U14" s="874"/>
      <c r="V14" s="874"/>
      <c r="W14" s="874"/>
      <c r="X14" s="874"/>
      <c r="Y14" s="874"/>
      <c r="Z14" s="874"/>
      <c r="AA14" s="874"/>
    </row>
  </sheetData>
  <mergeCells count="17">
    <mergeCell ref="B13:O13"/>
    <mergeCell ref="C11:I11"/>
    <mergeCell ref="J11:L11"/>
    <mergeCell ref="M11:O11"/>
    <mergeCell ref="C12:I12"/>
    <mergeCell ref="J12:L12"/>
    <mergeCell ref="M12:O12"/>
    <mergeCell ref="B9:O9"/>
    <mergeCell ref="C10:I10"/>
    <mergeCell ref="J10:L10"/>
    <mergeCell ref="M10:O10"/>
    <mergeCell ref="J1:O1"/>
    <mergeCell ref="B2:F2"/>
    <mergeCell ref="J2:O2"/>
    <mergeCell ref="J3:O3"/>
    <mergeCell ref="B7:O7"/>
    <mergeCell ref="B8:O8"/>
  </mergeCells>
  <pageMargins left="0.60000000000000009" right="0.60000000000000009" top="0.79" bottom="0.79" header="0.3" footer="0.3"/>
  <pageSetup paperSize="9" scale="95" orientation="landscape" useFirstPageNumber="1" horizontalDpi="65532"/>
  <headerFooter>
    <oddFooter>&amp;CTrang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indexed="26"/>
  </sheetPr>
  <dimension ref="A1:AA14"/>
  <sheetViews>
    <sheetView showZeros="0" topLeftCell="B1" workbookViewId="0">
      <selection sqref="A1:D1"/>
    </sheetView>
  </sheetViews>
  <sheetFormatPr defaultColWidth="9.140625" defaultRowHeight="15" x14ac:dyDescent="0.25"/>
  <cols>
    <col min="1" max="1" width="2.28515625" style="794" hidden="1" customWidth="1"/>
    <col min="2" max="2" width="6.5703125" style="794" customWidth="1"/>
    <col min="3" max="3" width="43.85546875" style="794" customWidth="1"/>
    <col min="4" max="4" width="16" style="794" customWidth="1"/>
    <col min="5" max="5" width="12.42578125" style="794" customWidth="1"/>
    <col min="6" max="6" width="14.42578125" style="794" customWidth="1"/>
    <col min="7" max="7" width="13.5703125" style="794" customWidth="1"/>
    <col min="8" max="8" width="14.85546875" style="794" customWidth="1"/>
    <col min="9" max="16384" width="9.140625" style="794"/>
  </cols>
  <sheetData>
    <row r="1" spans="1:27" x14ac:dyDescent="0.25">
      <c r="F1" s="1082" t="s">
        <v>1434</v>
      </c>
      <c r="G1" s="1082"/>
      <c r="H1" s="1082"/>
      <c r="I1" s="505"/>
      <c r="J1" s="505"/>
      <c r="K1" s="505"/>
      <c r="L1" s="505"/>
      <c r="M1" s="505"/>
      <c r="N1" s="505"/>
      <c r="O1" s="505"/>
      <c r="P1" s="505"/>
      <c r="Q1" s="505"/>
      <c r="R1" s="505"/>
      <c r="S1" s="505"/>
      <c r="T1" s="505"/>
      <c r="U1" s="505"/>
      <c r="V1" s="505"/>
      <c r="W1" s="505"/>
    </row>
    <row r="2" spans="1:27" ht="16.5" customHeight="1" x14ac:dyDescent="0.25">
      <c r="B2" s="1082"/>
      <c r="C2" s="1082"/>
      <c r="D2" s="513"/>
      <c r="E2" s="513"/>
      <c r="F2" s="1082" t="s">
        <v>189</v>
      </c>
      <c r="G2" s="1082"/>
      <c r="H2" s="1082"/>
      <c r="I2" s="505"/>
      <c r="J2" s="505"/>
      <c r="K2" s="505"/>
      <c r="L2" s="505"/>
      <c r="M2" s="505"/>
      <c r="N2" s="505"/>
      <c r="O2" s="505"/>
      <c r="P2" s="505"/>
      <c r="Q2" s="505"/>
      <c r="R2" s="505"/>
      <c r="S2" s="505"/>
      <c r="T2" s="505"/>
      <c r="U2" s="505"/>
      <c r="V2" s="505"/>
      <c r="W2" s="505"/>
    </row>
    <row r="3" spans="1:27" ht="16.5" customHeight="1" x14ac:dyDescent="0.25">
      <c r="F3" s="1216" t="s">
        <v>289</v>
      </c>
      <c r="G3" s="1217"/>
      <c r="H3" s="1217"/>
      <c r="I3" s="505"/>
      <c r="J3" s="505"/>
      <c r="K3" s="505"/>
      <c r="L3" s="505"/>
      <c r="M3" s="505"/>
      <c r="N3" s="505"/>
      <c r="O3" s="505"/>
      <c r="P3" s="505"/>
      <c r="Q3" s="505"/>
      <c r="R3" s="505"/>
      <c r="S3" s="505"/>
      <c r="T3" s="505"/>
      <c r="U3" s="505"/>
      <c r="V3" s="505"/>
      <c r="W3" s="505"/>
    </row>
    <row r="4" spans="1:27" x14ac:dyDescent="0.25">
      <c r="B4" s="874"/>
      <c r="C4" s="874"/>
      <c r="D4" s="874"/>
      <c r="E4" s="874"/>
      <c r="F4" s="874"/>
      <c r="G4" s="874"/>
      <c r="H4" s="874"/>
      <c r="I4" s="653"/>
      <c r="J4" s="653"/>
      <c r="K4" s="653"/>
      <c r="L4" s="653"/>
      <c r="M4" s="653"/>
      <c r="N4" s="653"/>
      <c r="O4" s="653"/>
      <c r="P4" s="653"/>
      <c r="Q4" s="653"/>
      <c r="R4" s="653"/>
      <c r="S4" s="653"/>
      <c r="T4" s="653"/>
      <c r="U4" s="653"/>
      <c r="V4" s="653"/>
      <c r="W4" s="653"/>
      <c r="X4" s="874"/>
      <c r="Y4" s="874"/>
      <c r="Z4" s="874"/>
      <c r="AA4" s="874"/>
    </row>
    <row r="5" spans="1:27" x14ac:dyDescent="0.25">
      <c r="B5" s="874"/>
      <c r="C5" s="874"/>
      <c r="D5" s="874"/>
      <c r="E5" s="874"/>
      <c r="F5" s="874"/>
      <c r="G5" s="874"/>
      <c r="H5" s="874"/>
      <c r="I5" s="874"/>
      <c r="J5" s="874"/>
      <c r="K5" s="874"/>
      <c r="L5" s="874"/>
      <c r="M5" s="874"/>
      <c r="N5" s="874"/>
      <c r="O5" s="874"/>
      <c r="P5" s="874"/>
      <c r="Q5" s="874"/>
      <c r="R5" s="874"/>
      <c r="S5" s="874"/>
      <c r="T5" s="874"/>
      <c r="U5" s="874"/>
      <c r="V5" s="874"/>
      <c r="W5" s="874"/>
      <c r="X5" s="874"/>
      <c r="Y5" s="874"/>
      <c r="Z5" s="874"/>
      <c r="AA5" s="874"/>
    </row>
    <row r="6" spans="1:27" x14ac:dyDescent="0.25">
      <c r="B6" s="874"/>
      <c r="C6" s="874"/>
      <c r="D6" s="874"/>
      <c r="E6" s="874"/>
      <c r="F6" s="874"/>
      <c r="G6" s="874"/>
      <c r="H6" s="874"/>
      <c r="I6" s="874"/>
      <c r="J6" s="874"/>
      <c r="K6" s="874"/>
      <c r="L6" s="874"/>
      <c r="M6" s="874"/>
      <c r="N6" s="874"/>
      <c r="O6" s="874"/>
      <c r="P6" s="874"/>
      <c r="Q6" s="874"/>
      <c r="R6" s="874"/>
      <c r="S6" s="874"/>
      <c r="T6" s="874"/>
      <c r="U6" s="874"/>
      <c r="V6" s="874"/>
      <c r="W6" s="874"/>
      <c r="X6" s="874"/>
      <c r="Y6" s="874"/>
      <c r="Z6" s="874"/>
      <c r="AA6" s="874"/>
    </row>
    <row r="7" spans="1:27" x14ac:dyDescent="0.25">
      <c r="B7" s="1209" t="s">
        <v>862</v>
      </c>
      <c r="C7" s="1209"/>
      <c r="D7" s="1209"/>
      <c r="E7" s="1209"/>
      <c r="F7" s="1209"/>
      <c r="G7" s="1209"/>
      <c r="H7" s="1209"/>
      <c r="I7" s="874"/>
      <c r="J7" s="874"/>
      <c r="K7" s="874"/>
      <c r="L7" s="874"/>
      <c r="M7" s="874"/>
      <c r="N7" s="874"/>
      <c r="O7" s="874"/>
      <c r="P7" s="874"/>
      <c r="Q7" s="874"/>
      <c r="R7" s="874"/>
      <c r="S7" s="874"/>
      <c r="T7" s="874"/>
      <c r="U7" s="874"/>
      <c r="V7" s="874"/>
      <c r="W7" s="874"/>
      <c r="X7" s="874"/>
      <c r="Y7" s="874"/>
      <c r="Z7" s="874"/>
      <c r="AA7" s="874"/>
    </row>
    <row r="8" spans="1:27" x14ac:dyDescent="0.25">
      <c r="B8" s="1209" t="s">
        <v>197</v>
      </c>
      <c r="C8" s="1209"/>
      <c r="D8" s="1209"/>
      <c r="E8" s="1209"/>
      <c r="F8" s="1209"/>
      <c r="G8" s="1209"/>
      <c r="H8" s="1209"/>
      <c r="I8" s="874"/>
      <c r="J8" s="874"/>
      <c r="K8" s="874"/>
      <c r="L8" s="874"/>
      <c r="M8" s="874"/>
      <c r="N8" s="874"/>
      <c r="O8" s="874"/>
      <c r="P8" s="874"/>
      <c r="Q8" s="874"/>
      <c r="R8" s="874"/>
      <c r="S8" s="874"/>
      <c r="T8" s="874"/>
      <c r="U8" s="874"/>
      <c r="V8" s="874"/>
      <c r="W8" s="874"/>
      <c r="X8" s="874"/>
      <c r="Y8" s="874"/>
      <c r="Z8" s="874"/>
      <c r="AA8" s="874"/>
    </row>
    <row r="9" spans="1:27" x14ac:dyDescent="0.25">
      <c r="B9" s="1215" t="s">
        <v>814</v>
      </c>
      <c r="C9" s="1215"/>
      <c r="D9" s="1215"/>
      <c r="E9" s="1215"/>
      <c r="F9" s="1215"/>
      <c r="G9" s="1215"/>
      <c r="H9" s="1215"/>
      <c r="I9" s="874"/>
      <c r="J9" s="874"/>
      <c r="K9" s="874"/>
      <c r="L9" s="874"/>
      <c r="M9" s="874"/>
      <c r="N9" s="874"/>
      <c r="O9" s="874"/>
      <c r="P9" s="874"/>
      <c r="Q9" s="874"/>
      <c r="R9" s="874"/>
      <c r="S9" s="874"/>
      <c r="T9" s="874"/>
      <c r="U9" s="874"/>
      <c r="V9" s="874"/>
      <c r="W9" s="874"/>
      <c r="X9" s="874"/>
      <c r="Y9" s="874"/>
      <c r="Z9" s="874"/>
      <c r="AA9" s="874"/>
    </row>
    <row r="10" spans="1:27" ht="42.75" x14ac:dyDescent="0.25">
      <c r="B10" s="197" t="s">
        <v>1323</v>
      </c>
      <c r="C10" s="197" t="s">
        <v>24</v>
      </c>
      <c r="D10" s="197" t="s">
        <v>699</v>
      </c>
      <c r="E10" s="197" t="s">
        <v>546</v>
      </c>
      <c r="F10" s="197" t="s">
        <v>1316</v>
      </c>
      <c r="G10" s="197" t="s">
        <v>409</v>
      </c>
      <c r="H10" s="197" t="s">
        <v>82</v>
      </c>
      <c r="I10" s="874"/>
      <c r="J10" s="874"/>
      <c r="K10" s="874"/>
      <c r="L10" s="874"/>
      <c r="M10" s="874"/>
      <c r="N10" s="874"/>
      <c r="O10" s="874"/>
      <c r="P10" s="874"/>
      <c r="Q10" s="874"/>
      <c r="R10" s="874"/>
      <c r="S10" s="874"/>
      <c r="T10" s="874"/>
      <c r="U10" s="874"/>
      <c r="V10" s="874"/>
      <c r="W10" s="874"/>
      <c r="X10" s="874"/>
      <c r="Y10" s="874"/>
      <c r="Z10" s="874"/>
      <c r="AA10" s="874"/>
    </row>
    <row r="11" spans="1:27" x14ac:dyDescent="0.25">
      <c r="A11" s="61"/>
      <c r="B11" s="180">
        <v>1</v>
      </c>
      <c r="C11" s="155" t="s">
        <v>1282</v>
      </c>
      <c r="D11" s="726">
        <f>THKPHM!F21</f>
        <v>1143527183.5140195</v>
      </c>
      <c r="E11" s="726">
        <f>D11*'Thông tin'!E61</f>
        <v>91482174.681121558</v>
      </c>
      <c r="F11" s="726">
        <f>D11+E11</f>
        <v>1235009358.1951411</v>
      </c>
      <c r="G11" s="726">
        <v>0</v>
      </c>
      <c r="H11" s="726">
        <f>F11+G11</f>
        <v>1235009358.1951411</v>
      </c>
      <c r="I11" s="874"/>
      <c r="J11" s="874"/>
      <c r="K11" s="874"/>
      <c r="L11" s="874"/>
      <c r="M11" s="874"/>
      <c r="N11" s="874"/>
      <c r="O11" s="874"/>
      <c r="P11" s="874"/>
      <c r="Q11" s="874"/>
      <c r="R11" s="874"/>
      <c r="S11" s="874"/>
      <c r="T11" s="874"/>
      <c r="U11" s="874"/>
      <c r="V11" s="874"/>
      <c r="W11" s="874"/>
      <c r="X11" s="874"/>
      <c r="Y11" s="874"/>
      <c r="Z11" s="874"/>
      <c r="AA11" s="874"/>
    </row>
    <row r="12" spans="1:27" x14ac:dyDescent="0.25">
      <c r="A12" s="146"/>
      <c r="B12" s="277"/>
      <c r="C12" s="261" t="s">
        <v>1197</v>
      </c>
      <c r="D12" s="816">
        <f t="shared" ref="D12:H12" si="0">SUM(D11:D11)</f>
        <v>1143527183.5140195</v>
      </c>
      <c r="E12" s="816">
        <f t="shared" si="0"/>
        <v>91482174.681121558</v>
      </c>
      <c r="F12" s="816">
        <f t="shared" si="0"/>
        <v>1235009358.1951411</v>
      </c>
      <c r="G12" s="816">
        <f t="shared" si="0"/>
        <v>0</v>
      </c>
      <c r="H12" s="816">
        <f t="shared" si="0"/>
        <v>1235009358.1951411</v>
      </c>
      <c r="I12" s="874"/>
      <c r="J12" s="874"/>
      <c r="K12" s="874"/>
      <c r="L12" s="874"/>
      <c r="M12" s="874"/>
      <c r="N12" s="874"/>
      <c r="O12" s="874"/>
      <c r="P12" s="874"/>
      <c r="Q12" s="874"/>
      <c r="R12" s="874"/>
      <c r="S12" s="874"/>
      <c r="T12" s="874"/>
      <c r="U12" s="874"/>
      <c r="V12" s="874"/>
      <c r="W12" s="874"/>
      <c r="X12" s="874"/>
      <c r="Y12" s="874"/>
      <c r="Z12" s="874"/>
      <c r="AA12" s="874"/>
    </row>
    <row r="13" spans="1:27" x14ac:dyDescent="0.25">
      <c r="B13" s="1210" t="s">
        <v>375</v>
      </c>
      <c r="C13" s="1210" t="s">
        <v>375</v>
      </c>
      <c r="D13" s="1210" t="s">
        <v>375</v>
      </c>
      <c r="E13" s="1210" t="s">
        <v>375</v>
      </c>
      <c r="F13" s="1210" t="s">
        <v>375</v>
      </c>
      <c r="G13" s="1210" t="s">
        <v>375</v>
      </c>
      <c r="H13" s="1210" t="s">
        <v>375</v>
      </c>
      <c r="I13" s="874"/>
      <c r="J13" s="874"/>
      <c r="K13" s="874"/>
      <c r="L13" s="874"/>
      <c r="M13" s="874"/>
      <c r="N13" s="874"/>
      <c r="O13" s="874"/>
      <c r="P13" s="874"/>
      <c r="Q13" s="874"/>
      <c r="R13" s="874"/>
      <c r="S13" s="874"/>
      <c r="T13" s="874"/>
      <c r="U13" s="874"/>
      <c r="V13" s="874"/>
      <c r="W13" s="874"/>
      <c r="X13" s="874"/>
      <c r="Y13" s="874"/>
      <c r="Z13" s="874"/>
      <c r="AA13" s="874"/>
    </row>
    <row r="14" spans="1:27" x14ac:dyDescent="0.25">
      <c r="B14" s="874"/>
      <c r="C14" s="874"/>
      <c r="D14" s="874"/>
      <c r="E14" s="874"/>
      <c r="F14" s="874"/>
      <c r="G14" s="874"/>
      <c r="H14" s="874"/>
      <c r="I14" s="874"/>
      <c r="J14" s="874"/>
      <c r="K14" s="874"/>
      <c r="L14" s="874"/>
      <c r="M14" s="874"/>
      <c r="N14" s="874"/>
      <c r="O14" s="874"/>
      <c r="P14" s="874"/>
      <c r="Q14" s="874"/>
      <c r="R14" s="874"/>
      <c r="S14" s="874"/>
      <c r="T14" s="874"/>
      <c r="U14" s="874"/>
      <c r="V14" s="874"/>
      <c r="W14" s="874"/>
      <c r="X14" s="874"/>
      <c r="Y14" s="874"/>
      <c r="Z14" s="874"/>
      <c r="AA14" s="874"/>
    </row>
  </sheetData>
  <mergeCells count="8">
    <mergeCell ref="B13:H13"/>
    <mergeCell ref="B9:H9"/>
    <mergeCell ref="F1:H1"/>
    <mergeCell ref="B2:C2"/>
    <mergeCell ref="F2:H2"/>
    <mergeCell ref="F3:H3"/>
    <mergeCell ref="B7:H7"/>
    <mergeCell ref="B8:H8"/>
  </mergeCells>
  <pageMargins left="1.18" right="0.59" top="0.79" bottom="0.79" header="0.3" footer="0.3"/>
  <pageSetup scale="90" orientation="landscape" horizontalDpi="65532"/>
  <headerFooter>
    <oddFooter>&amp;LDự toán Eta 2012&amp;CTrang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A5000"/>
  <sheetViews>
    <sheetView showGridLines="0" showZeros="0" topLeftCell="B1" workbookViewId="0">
      <selection sqref="A1:D1"/>
    </sheetView>
  </sheetViews>
  <sheetFormatPr defaultColWidth="9.140625" defaultRowHeight="15" x14ac:dyDescent="0.25"/>
  <cols>
    <col min="1" max="1" width="7.85546875" style="794" hidden="1" customWidth="1"/>
    <col min="2" max="2" width="6.140625" style="794" customWidth="1"/>
    <col min="3" max="3" width="45.5703125" style="794" customWidth="1"/>
    <col min="4" max="4" width="8" style="794" customWidth="1"/>
    <col min="5" max="5" width="9.85546875" style="794" customWidth="1"/>
    <col min="6" max="6" width="12.140625" style="794" customWidth="1"/>
    <col min="7" max="7" width="11.5703125" style="794" customWidth="1"/>
    <col min="8" max="8" width="9.85546875" style="794" customWidth="1"/>
    <col min="9" max="9" width="12.140625" style="794" customWidth="1"/>
    <col min="10" max="10" width="11.5703125" style="794" customWidth="1"/>
    <col min="11" max="11" width="9.85546875" style="794" customWidth="1"/>
    <col min="12" max="16384" width="9.140625" style="794"/>
  </cols>
  <sheetData>
    <row r="1" spans="1:27" x14ac:dyDescent="0.25">
      <c r="F1" s="513"/>
      <c r="G1" s="1082" t="s">
        <v>1434</v>
      </c>
      <c r="H1" s="1082"/>
      <c r="I1" s="1082"/>
      <c r="J1" s="1082"/>
      <c r="K1" s="513"/>
    </row>
    <row r="2" spans="1:27" x14ac:dyDescent="0.25">
      <c r="B2" s="1082"/>
      <c r="C2" s="1082"/>
      <c r="D2" s="513"/>
      <c r="E2" s="513"/>
      <c r="F2" s="513"/>
      <c r="G2" s="1082" t="s">
        <v>189</v>
      </c>
      <c r="H2" s="1082"/>
      <c r="I2" s="1082"/>
      <c r="J2" s="1082"/>
      <c r="K2" s="513"/>
    </row>
    <row r="3" spans="1:27" x14ac:dyDescent="0.25">
      <c r="F3" s="790"/>
      <c r="G3" s="1216" t="s">
        <v>289</v>
      </c>
      <c r="H3" s="1216"/>
      <c r="I3" s="1216"/>
      <c r="J3" s="1216"/>
      <c r="K3" s="505"/>
    </row>
    <row r="4" spans="1:27" x14ac:dyDescent="0.25">
      <c r="B4" s="874"/>
      <c r="C4" s="874"/>
      <c r="D4" s="874"/>
      <c r="E4" s="874"/>
      <c r="F4" s="874"/>
      <c r="G4" s="874"/>
      <c r="H4" s="874"/>
      <c r="I4" s="874"/>
      <c r="J4" s="874"/>
      <c r="K4" s="874"/>
      <c r="L4" s="874"/>
      <c r="M4" s="874"/>
      <c r="N4" s="874"/>
      <c r="O4" s="874"/>
      <c r="P4" s="874"/>
      <c r="Q4" s="874"/>
      <c r="R4" s="874"/>
      <c r="S4" s="874"/>
      <c r="T4" s="874"/>
      <c r="U4" s="874"/>
      <c r="V4" s="874"/>
      <c r="W4" s="874"/>
      <c r="X4" s="874"/>
      <c r="Y4" s="874"/>
      <c r="Z4" s="874"/>
      <c r="AA4" s="874"/>
    </row>
    <row r="5" spans="1:27" x14ac:dyDescent="0.25">
      <c r="B5" s="874"/>
      <c r="C5" s="874"/>
      <c r="D5" s="874"/>
      <c r="E5" s="874"/>
      <c r="F5" s="874"/>
      <c r="G5" s="874"/>
      <c r="H5" s="874"/>
      <c r="I5" s="874"/>
      <c r="J5" s="874"/>
      <c r="K5" s="874"/>
      <c r="L5" s="874"/>
      <c r="M5" s="874"/>
      <c r="N5" s="874"/>
      <c r="O5" s="874"/>
      <c r="P5" s="874"/>
      <c r="Q5" s="874"/>
      <c r="R5" s="874"/>
      <c r="S5" s="874"/>
      <c r="T5" s="874"/>
      <c r="U5" s="874"/>
      <c r="V5" s="874"/>
      <c r="W5" s="874"/>
      <c r="X5" s="874"/>
      <c r="Y5" s="874"/>
      <c r="Z5" s="874"/>
      <c r="AA5" s="874"/>
    </row>
    <row r="6" spans="1:27" x14ac:dyDescent="0.25">
      <c r="B6" s="874"/>
      <c r="C6" s="874"/>
      <c r="D6" s="874"/>
      <c r="E6" s="874"/>
      <c r="F6" s="874"/>
      <c r="G6" s="874"/>
      <c r="H6" s="874"/>
      <c r="I6" s="874"/>
      <c r="J6" s="874"/>
      <c r="K6" s="874"/>
      <c r="L6" s="874"/>
      <c r="M6" s="874"/>
      <c r="N6" s="874"/>
      <c r="O6" s="874"/>
      <c r="P6" s="874"/>
      <c r="Q6" s="874"/>
      <c r="R6" s="874"/>
      <c r="S6" s="874"/>
      <c r="T6" s="874"/>
      <c r="U6" s="874"/>
      <c r="V6" s="874"/>
      <c r="W6" s="874"/>
      <c r="X6" s="874"/>
      <c r="Y6" s="874"/>
      <c r="Z6" s="874"/>
      <c r="AA6" s="874"/>
    </row>
    <row r="7" spans="1:27" x14ac:dyDescent="0.25">
      <c r="B7" s="1209" t="s">
        <v>93</v>
      </c>
      <c r="C7" s="1209"/>
      <c r="D7" s="1209"/>
      <c r="E7" s="1209"/>
      <c r="F7" s="1209"/>
      <c r="G7" s="1209"/>
      <c r="H7" s="1209"/>
      <c r="I7" s="1209"/>
      <c r="J7" s="1209"/>
      <c r="K7" s="1209"/>
      <c r="L7" s="874"/>
      <c r="M7" s="874"/>
      <c r="N7" s="874"/>
      <c r="O7" s="874"/>
      <c r="P7" s="874"/>
      <c r="Q7" s="874"/>
      <c r="R7" s="874"/>
      <c r="S7" s="874"/>
      <c r="T7" s="874"/>
      <c r="U7" s="874"/>
      <c r="V7" s="874"/>
      <c r="W7" s="874"/>
      <c r="X7" s="874"/>
      <c r="Y7" s="874"/>
      <c r="Z7" s="874"/>
      <c r="AA7" s="874"/>
    </row>
    <row r="8" spans="1:27" x14ac:dyDescent="0.25">
      <c r="B8" s="1209" t="str">
        <f>"CÔNG TRÌNH: "  &amp; 'Thông tin'!E5</f>
        <v>CÔNG TRÌNH: ĐƯỜNG BÊ TÔNG TUYẾN ĐƯỜNG LÀNG BÊN - LÀNG QUE, XÃ HỮU LIÊN, TỈNH LẠNG SƠN</v>
      </c>
      <c r="C8" s="1209"/>
      <c r="D8" s="1209"/>
      <c r="E8" s="1209"/>
      <c r="F8" s="1209"/>
      <c r="G8" s="1209"/>
      <c r="H8" s="1209"/>
      <c r="I8" s="1209"/>
      <c r="J8" s="1209"/>
      <c r="K8" s="1209"/>
      <c r="L8" s="874"/>
      <c r="M8" s="874"/>
      <c r="N8" s="874"/>
      <c r="O8" s="874"/>
      <c r="P8" s="874"/>
      <c r="Q8" s="874"/>
      <c r="R8" s="874"/>
      <c r="S8" s="874"/>
      <c r="T8" s="874"/>
      <c r="U8" s="874"/>
      <c r="V8" s="874"/>
      <c r="W8" s="874"/>
      <c r="X8" s="874"/>
      <c r="Y8" s="874"/>
      <c r="Z8" s="874"/>
      <c r="AA8" s="874"/>
    </row>
    <row r="9" spans="1:27" x14ac:dyDescent="0.25">
      <c r="B9" s="1215" t="s">
        <v>814</v>
      </c>
      <c r="C9" s="1215"/>
      <c r="D9" s="1215"/>
      <c r="E9" s="1215"/>
      <c r="F9" s="1215"/>
      <c r="G9" s="1215"/>
      <c r="H9" s="1215"/>
      <c r="I9" s="1215"/>
      <c r="J9" s="1215"/>
      <c r="K9" s="1215"/>
      <c r="L9" s="874"/>
      <c r="M9" s="874"/>
      <c r="N9" s="874"/>
      <c r="O9" s="874"/>
      <c r="P9" s="874"/>
      <c r="Q9" s="874"/>
      <c r="R9" s="874"/>
      <c r="S9" s="874"/>
      <c r="T9" s="874"/>
      <c r="U9" s="874"/>
      <c r="V9" s="874"/>
      <c r="W9" s="874"/>
      <c r="X9" s="874"/>
      <c r="Y9" s="874"/>
      <c r="Z9" s="874"/>
      <c r="AA9" s="874"/>
    </row>
    <row r="10" spans="1:27" x14ac:dyDescent="0.25">
      <c r="B10" s="1126" t="s">
        <v>1323</v>
      </c>
      <c r="C10" s="1126" t="s">
        <v>1044</v>
      </c>
      <c r="D10" s="1126" t="s">
        <v>1448</v>
      </c>
      <c r="E10" s="1126" t="s">
        <v>916</v>
      </c>
      <c r="F10" s="1100" t="s">
        <v>979</v>
      </c>
      <c r="G10" s="1100"/>
      <c r="H10" s="1100"/>
      <c r="I10" s="1084" t="s">
        <v>898</v>
      </c>
      <c r="J10" s="1084"/>
      <c r="K10" s="1084"/>
      <c r="L10" s="874"/>
      <c r="M10" s="874"/>
      <c r="N10" s="874"/>
      <c r="O10" s="874"/>
      <c r="P10" s="874"/>
      <c r="Q10" s="874"/>
      <c r="R10" s="874"/>
      <c r="S10" s="874"/>
      <c r="T10" s="874"/>
      <c r="U10" s="874"/>
      <c r="V10" s="874"/>
      <c r="W10" s="874"/>
      <c r="X10" s="874"/>
      <c r="Y10" s="874"/>
      <c r="Z10" s="874"/>
      <c r="AA10" s="874"/>
    </row>
    <row r="11" spans="1:27" x14ac:dyDescent="0.25">
      <c r="B11" s="1128"/>
      <c r="C11" s="1128"/>
      <c r="D11" s="1128"/>
      <c r="E11" s="1128"/>
      <c r="F11" s="288" t="s">
        <v>726</v>
      </c>
      <c r="G11" s="288" t="s">
        <v>1042</v>
      </c>
      <c r="H11" s="288" t="s">
        <v>655</v>
      </c>
      <c r="I11" s="288" t="s">
        <v>726</v>
      </c>
      <c r="J11" s="288" t="s">
        <v>1042</v>
      </c>
      <c r="K11" s="288" t="s">
        <v>655</v>
      </c>
      <c r="L11" s="874"/>
      <c r="M11" s="874"/>
      <c r="N11" s="874"/>
      <c r="O11" s="874"/>
      <c r="P11" s="874"/>
      <c r="Q11" s="874"/>
      <c r="R11" s="874"/>
      <c r="S11" s="874"/>
      <c r="T11" s="874"/>
      <c r="U11" s="874"/>
      <c r="V11" s="874"/>
      <c r="W11" s="874"/>
      <c r="X11" s="874"/>
      <c r="Y11" s="874"/>
      <c r="Z11" s="874"/>
      <c r="AA11" s="874"/>
    </row>
    <row r="12" spans="1:27" x14ac:dyDescent="0.25">
      <c r="A12" s="666"/>
      <c r="B12" s="491"/>
      <c r="C12" s="103" t="s">
        <v>306</v>
      </c>
      <c r="D12" s="491"/>
      <c r="E12" s="555"/>
      <c r="F12" s="897"/>
      <c r="G12" s="897"/>
      <c r="H12" s="897">
        <f t="shared" ref="H12:H16" si="0">F12+G12</f>
        <v>0</v>
      </c>
      <c r="I12" s="897">
        <v>0</v>
      </c>
      <c r="J12" s="897">
        <v>0</v>
      </c>
      <c r="K12" s="897">
        <v>0</v>
      </c>
      <c r="L12" s="874"/>
      <c r="M12" s="874"/>
      <c r="N12" s="874"/>
      <c r="O12" s="874"/>
      <c r="P12" s="874"/>
      <c r="Q12" s="874"/>
      <c r="R12" s="874"/>
      <c r="S12" s="874"/>
      <c r="T12" s="874"/>
      <c r="U12" s="874"/>
      <c r="V12" s="874"/>
      <c r="W12" s="874"/>
      <c r="X12" s="874"/>
      <c r="Y12" s="874"/>
      <c r="Z12" s="874"/>
      <c r="AA12" s="874"/>
    </row>
    <row r="13" spans="1:27" x14ac:dyDescent="0.25">
      <c r="A13" s="581"/>
      <c r="B13" s="782"/>
      <c r="C13" s="19" t="s">
        <v>306</v>
      </c>
      <c r="D13" s="782"/>
      <c r="E13" s="467"/>
      <c r="F13" s="292"/>
      <c r="G13" s="292"/>
      <c r="H13" s="292">
        <f t="shared" si="0"/>
        <v>0</v>
      </c>
      <c r="I13" s="292">
        <v>0</v>
      </c>
      <c r="J13" s="292">
        <v>0</v>
      </c>
      <c r="K13" s="292">
        <v>0</v>
      </c>
      <c r="L13" s="874"/>
      <c r="M13" s="874"/>
      <c r="N13" s="874"/>
      <c r="O13" s="874"/>
      <c r="P13" s="874"/>
      <c r="Q13" s="874"/>
      <c r="R13" s="874"/>
      <c r="S13" s="874"/>
      <c r="T13" s="874"/>
      <c r="U13" s="874"/>
      <c r="V13" s="874"/>
      <c r="W13" s="874"/>
      <c r="X13" s="874"/>
      <c r="Y13" s="874"/>
      <c r="Z13" s="874"/>
      <c r="AA13" s="874"/>
    </row>
    <row r="14" spans="1:27" x14ac:dyDescent="0.25">
      <c r="A14" s="581"/>
      <c r="B14" s="782"/>
      <c r="C14" s="19" t="s">
        <v>306</v>
      </c>
      <c r="D14" s="782"/>
      <c r="E14" s="467"/>
      <c r="F14" s="292"/>
      <c r="G14" s="292"/>
      <c r="H14" s="292">
        <f t="shared" si="0"/>
        <v>0</v>
      </c>
      <c r="I14" s="292">
        <v>0</v>
      </c>
      <c r="J14" s="292">
        <v>0</v>
      </c>
      <c r="K14" s="292">
        <v>0</v>
      </c>
      <c r="L14" s="874"/>
      <c r="M14" s="874"/>
      <c r="N14" s="874"/>
      <c r="O14" s="874"/>
      <c r="P14" s="874"/>
      <c r="Q14" s="874"/>
      <c r="R14" s="874"/>
      <c r="S14" s="874"/>
      <c r="T14" s="874"/>
      <c r="U14" s="874"/>
      <c r="V14" s="874"/>
      <c r="W14" s="874"/>
      <c r="X14" s="874"/>
      <c r="Y14" s="874"/>
      <c r="Z14" s="874"/>
      <c r="AA14" s="874"/>
    </row>
    <row r="15" spans="1:27" x14ac:dyDescent="0.25">
      <c r="A15" s="581"/>
      <c r="B15" s="782"/>
      <c r="C15" s="19" t="s">
        <v>306</v>
      </c>
      <c r="D15" s="782"/>
      <c r="E15" s="467"/>
      <c r="F15" s="292"/>
      <c r="G15" s="292"/>
      <c r="H15" s="292">
        <f t="shared" si="0"/>
        <v>0</v>
      </c>
      <c r="I15" s="292">
        <v>0</v>
      </c>
      <c r="J15" s="292">
        <v>0</v>
      </c>
      <c r="K15" s="292">
        <v>0</v>
      </c>
      <c r="L15" s="874"/>
      <c r="M15" s="874"/>
      <c r="N15" s="874"/>
      <c r="O15" s="874"/>
      <c r="P15" s="874"/>
      <c r="Q15" s="874"/>
      <c r="R15" s="874"/>
      <c r="S15" s="874"/>
      <c r="T15" s="874"/>
      <c r="U15" s="874"/>
      <c r="V15" s="874"/>
      <c r="W15" s="874"/>
      <c r="X15" s="874"/>
      <c r="Y15" s="874"/>
      <c r="Z15" s="874"/>
      <c r="AA15" s="874"/>
    </row>
    <row r="16" spans="1:27" x14ac:dyDescent="0.25">
      <c r="A16" s="602"/>
      <c r="B16" s="432"/>
      <c r="C16" s="594" t="s">
        <v>306</v>
      </c>
      <c r="D16" s="432"/>
      <c r="E16" s="487"/>
      <c r="F16" s="829"/>
      <c r="G16" s="829"/>
      <c r="H16" s="829">
        <f t="shared" si="0"/>
        <v>0</v>
      </c>
      <c r="I16" s="829">
        <v>0</v>
      </c>
      <c r="J16" s="829">
        <v>0</v>
      </c>
      <c r="K16" s="829">
        <v>0</v>
      </c>
      <c r="L16" s="874"/>
      <c r="M16" s="874"/>
      <c r="N16" s="874"/>
      <c r="O16" s="874"/>
      <c r="P16" s="874"/>
      <c r="Q16" s="874"/>
      <c r="R16" s="874"/>
      <c r="S16" s="874"/>
      <c r="T16" s="874"/>
      <c r="U16" s="874"/>
      <c r="V16" s="874"/>
      <c r="W16" s="874"/>
      <c r="X16" s="874"/>
      <c r="Y16" s="874"/>
      <c r="Z16" s="874"/>
      <c r="AA16" s="874"/>
    </row>
    <row r="17" spans="1:27" x14ac:dyDescent="0.25">
      <c r="A17" s="1218" t="s">
        <v>1197</v>
      </c>
      <c r="B17" s="1219" t="s">
        <v>1197</v>
      </c>
      <c r="C17" s="1220" t="s">
        <v>1197</v>
      </c>
      <c r="D17" s="1219" t="s">
        <v>1197</v>
      </c>
      <c r="E17" s="1221" t="s">
        <v>1197</v>
      </c>
      <c r="F17" s="1222" t="s">
        <v>1197</v>
      </c>
      <c r="G17" s="1222" t="s">
        <v>1197</v>
      </c>
      <c r="H17" s="1222" t="s">
        <v>1197</v>
      </c>
      <c r="I17" s="207">
        <f>SUMIF(D12:D16,"&lt;&gt;",I12:I16)</f>
        <v>0</v>
      </c>
      <c r="J17" s="207">
        <f>SUMIF(D12:D16,"&lt;&gt;",J12:J16)</f>
        <v>0</v>
      </c>
      <c r="K17" s="207">
        <f>SUMIF(D12:D16,"&lt;&gt;",K12:K16)</f>
        <v>0</v>
      </c>
      <c r="L17" s="874"/>
      <c r="M17" s="874"/>
      <c r="N17" s="874"/>
      <c r="O17" s="874"/>
      <c r="P17" s="874"/>
      <c r="Q17" s="874"/>
      <c r="R17" s="874"/>
      <c r="S17" s="874"/>
      <c r="T17" s="874"/>
      <c r="U17" s="874"/>
      <c r="V17" s="874"/>
      <c r="W17" s="874"/>
      <c r="X17" s="874"/>
      <c r="Y17" s="874"/>
      <c r="Z17" s="874"/>
      <c r="AA17" s="874"/>
    </row>
    <row r="18" spans="1:27" x14ac:dyDescent="0.25">
      <c r="A18" s="27"/>
      <c r="B18" s="1223" t="s">
        <v>260</v>
      </c>
      <c r="C18" s="1223" t="s">
        <v>260</v>
      </c>
      <c r="D18" s="1223" t="s">
        <v>260</v>
      </c>
      <c r="E18" s="1223" t="s">
        <v>260</v>
      </c>
      <c r="F18" s="1223" t="s">
        <v>260</v>
      </c>
      <c r="G18" s="1223" t="s">
        <v>260</v>
      </c>
      <c r="H18" s="1223" t="s">
        <v>260</v>
      </c>
      <c r="I18" s="1223" t="s">
        <v>260</v>
      </c>
      <c r="J18" s="1223" t="s">
        <v>260</v>
      </c>
      <c r="K18" s="1223" t="s">
        <v>260</v>
      </c>
      <c r="L18" s="874"/>
      <c r="M18" s="874"/>
      <c r="N18" s="874"/>
      <c r="O18" s="874"/>
      <c r="P18" s="874"/>
      <c r="Q18" s="874"/>
      <c r="R18" s="874"/>
      <c r="S18" s="874"/>
      <c r="T18" s="874"/>
      <c r="U18" s="874"/>
      <c r="V18" s="874"/>
      <c r="W18" s="874"/>
      <c r="X18" s="874"/>
      <c r="Y18" s="874"/>
      <c r="Z18" s="874"/>
      <c r="AA18" s="874"/>
    </row>
    <row r="19" spans="1:27" x14ac:dyDescent="0.25">
      <c r="A19" s="27"/>
      <c r="B19" s="302"/>
      <c r="C19" s="289"/>
      <c r="D19" s="302"/>
      <c r="E19" s="302"/>
      <c r="F19" s="302"/>
      <c r="G19" s="302"/>
      <c r="H19" s="302"/>
      <c r="I19" s="302"/>
      <c r="J19" s="302"/>
      <c r="K19" s="302"/>
      <c r="L19" s="874"/>
      <c r="M19" s="874"/>
      <c r="N19" s="874"/>
      <c r="O19" s="874"/>
      <c r="P19" s="874"/>
      <c r="Q19" s="874"/>
      <c r="R19" s="874"/>
      <c r="S19" s="874"/>
      <c r="T19" s="874"/>
      <c r="U19" s="874"/>
      <c r="V19" s="874"/>
      <c r="W19" s="874"/>
      <c r="X19" s="874"/>
      <c r="Y19" s="874"/>
      <c r="Z19" s="874"/>
      <c r="AA19" s="874"/>
    </row>
    <row r="20" spans="1:27" x14ac:dyDescent="0.25">
      <c r="A20" s="27"/>
      <c r="B20" s="302"/>
      <c r="C20" s="164" t="s">
        <v>162</v>
      </c>
      <c r="D20" s="302"/>
      <c r="E20" s="302"/>
      <c r="F20" s="302"/>
      <c r="G20" s="302"/>
      <c r="H20" s="1224" t="s">
        <v>690</v>
      </c>
      <c r="I20" s="1224" t="s">
        <v>690</v>
      </c>
      <c r="J20" s="1224" t="s">
        <v>690</v>
      </c>
      <c r="K20" s="1224" t="s">
        <v>690</v>
      </c>
      <c r="L20" s="874"/>
      <c r="M20" s="874"/>
      <c r="N20" s="874"/>
      <c r="O20" s="874"/>
      <c r="P20" s="874"/>
      <c r="Q20" s="874"/>
      <c r="R20" s="874"/>
      <c r="S20" s="874"/>
      <c r="T20" s="874"/>
      <c r="U20" s="874"/>
      <c r="V20" s="874"/>
      <c r="W20" s="874"/>
      <c r="X20" s="874"/>
      <c r="Y20" s="874"/>
      <c r="Z20" s="874"/>
      <c r="AA20" s="874"/>
    </row>
    <row r="21" spans="1:27" x14ac:dyDescent="0.25">
      <c r="A21" s="27"/>
      <c r="B21" s="302"/>
      <c r="C21" s="289"/>
      <c r="D21" s="302"/>
      <c r="E21" s="302"/>
      <c r="F21" s="302"/>
      <c r="G21" s="302"/>
      <c r="H21" s="1134" t="s">
        <v>779</v>
      </c>
      <c r="I21" s="1134" t="s">
        <v>779</v>
      </c>
      <c r="J21" s="1134" t="s">
        <v>779</v>
      </c>
      <c r="K21" s="1134" t="s">
        <v>779</v>
      </c>
      <c r="L21" s="874"/>
      <c r="M21" s="874"/>
      <c r="N21" s="874"/>
      <c r="O21" s="874"/>
      <c r="P21" s="874"/>
      <c r="Q21" s="874"/>
      <c r="R21" s="874"/>
      <c r="S21" s="874"/>
      <c r="T21" s="874"/>
      <c r="U21" s="874"/>
      <c r="V21" s="874"/>
      <c r="W21" s="874"/>
      <c r="X21" s="874"/>
      <c r="Y21" s="874"/>
      <c r="Z21" s="874"/>
      <c r="AA21" s="874"/>
    </row>
    <row r="22" spans="1:27" x14ac:dyDescent="0.25">
      <c r="A22" s="27"/>
      <c r="B22" s="302"/>
      <c r="C22" s="289"/>
      <c r="D22" s="302"/>
      <c r="E22" s="302"/>
      <c r="F22" s="302"/>
      <c r="G22" s="302"/>
      <c r="H22" s="302"/>
      <c r="I22" s="302"/>
      <c r="J22" s="302"/>
      <c r="K22" s="302"/>
      <c r="L22" s="874"/>
      <c r="M22" s="874"/>
      <c r="N22" s="874"/>
      <c r="O22" s="874"/>
      <c r="P22" s="874"/>
      <c r="Q22" s="874"/>
      <c r="R22" s="874"/>
      <c r="S22" s="874"/>
      <c r="T22" s="874"/>
      <c r="U22" s="874"/>
      <c r="V22" s="874"/>
      <c r="W22" s="874"/>
      <c r="X22" s="874"/>
      <c r="Y22" s="874"/>
      <c r="Z22" s="874"/>
      <c r="AA22" s="874"/>
    </row>
    <row r="23" spans="1:27" x14ac:dyDescent="0.25">
      <c r="B23" s="874"/>
      <c r="C23" s="864"/>
      <c r="D23" s="874"/>
      <c r="E23" s="874"/>
      <c r="F23" s="874"/>
      <c r="G23" s="874"/>
      <c r="H23" s="874"/>
      <c r="I23" s="874"/>
      <c r="J23" s="874"/>
      <c r="K23" s="874"/>
      <c r="L23" s="874"/>
      <c r="M23" s="874"/>
      <c r="N23" s="874"/>
      <c r="O23" s="874"/>
      <c r="P23" s="874"/>
      <c r="Q23" s="874"/>
      <c r="R23" s="874"/>
      <c r="S23" s="874"/>
      <c r="T23" s="874"/>
      <c r="U23" s="874"/>
      <c r="V23" s="874"/>
      <c r="W23" s="874"/>
      <c r="X23" s="874"/>
      <c r="Y23" s="874"/>
      <c r="Z23" s="874"/>
      <c r="AA23" s="874"/>
    </row>
    <row r="24" spans="1:27" x14ac:dyDescent="0.25">
      <c r="C24" s="784"/>
    </row>
    <row r="25" spans="1:27" x14ac:dyDescent="0.25">
      <c r="C25" s="784"/>
    </row>
    <row r="26" spans="1:27" x14ac:dyDescent="0.25">
      <c r="C26" s="784"/>
    </row>
    <row r="27" spans="1:27" x14ac:dyDescent="0.25">
      <c r="C27" s="784"/>
    </row>
    <row r="28" spans="1:27" x14ac:dyDescent="0.25">
      <c r="C28" s="784"/>
    </row>
    <row r="29" spans="1:27" x14ac:dyDescent="0.25">
      <c r="C29" s="784"/>
    </row>
    <row r="30" spans="1:27" x14ac:dyDescent="0.25">
      <c r="C30" s="784"/>
    </row>
    <row r="31" spans="1:27" x14ac:dyDescent="0.25">
      <c r="C31" s="784"/>
    </row>
    <row r="32" spans="1:27" x14ac:dyDescent="0.25">
      <c r="C32" s="784"/>
    </row>
    <row r="33" spans="3:3" x14ac:dyDescent="0.25">
      <c r="C33" s="784"/>
    </row>
    <row r="34" spans="3:3" x14ac:dyDescent="0.25">
      <c r="C34" s="784"/>
    </row>
    <row r="35" spans="3:3" x14ac:dyDescent="0.25">
      <c r="C35" s="784"/>
    </row>
    <row r="36" spans="3:3" x14ac:dyDescent="0.25">
      <c r="C36" s="784"/>
    </row>
    <row r="37" spans="3:3" x14ac:dyDescent="0.25">
      <c r="C37" s="784"/>
    </row>
    <row r="38" spans="3:3" x14ac:dyDescent="0.25">
      <c r="C38" s="784"/>
    </row>
    <row r="39" spans="3:3" x14ac:dyDescent="0.25">
      <c r="C39" s="784"/>
    </row>
    <row r="40" spans="3:3" x14ac:dyDescent="0.25">
      <c r="C40" s="784"/>
    </row>
    <row r="41" spans="3:3" x14ac:dyDescent="0.25">
      <c r="C41" s="784"/>
    </row>
    <row r="42" spans="3:3" x14ac:dyDescent="0.25">
      <c r="C42" s="784"/>
    </row>
    <row r="43" spans="3:3" x14ac:dyDescent="0.25">
      <c r="C43" s="784"/>
    </row>
    <row r="44" spans="3:3" x14ac:dyDescent="0.25">
      <c r="C44" s="784"/>
    </row>
    <row r="45" spans="3:3" x14ac:dyDescent="0.25">
      <c r="C45" s="784"/>
    </row>
    <row r="46" spans="3:3" x14ac:dyDescent="0.25">
      <c r="C46" s="784"/>
    </row>
    <row r="47" spans="3:3" x14ac:dyDescent="0.25">
      <c r="C47" s="784"/>
    </row>
    <row r="48" spans="3:3" x14ac:dyDescent="0.25">
      <c r="C48" s="784"/>
    </row>
    <row r="49" spans="3:3" x14ac:dyDescent="0.25">
      <c r="C49" s="784"/>
    </row>
    <row r="50" spans="3:3" x14ac:dyDescent="0.25">
      <c r="C50" s="784"/>
    </row>
    <row r="51" spans="3:3" x14ac:dyDescent="0.25">
      <c r="C51" s="784"/>
    </row>
    <row r="52" spans="3:3" x14ac:dyDescent="0.25">
      <c r="C52" s="784"/>
    </row>
    <row r="53" spans="3:3" x14ac:dyDescent="0.25">
      <c r="C53" s="784"/>
    </row>
    <row r="54" spans="3:3" x14ac:dyDescent="0.25">
      <c r="C54" s="784"/>
    </row>
    <row r="55" spans="3:3" x14ac:dyDescent="0.25">
      <c r="C55" s="784"/>
    </row>
    <row r="56" spans="3:3" x14ac:dyDescent="0.25">
      <c r="C56" s="784"/>
    </row>
    <row r="57" spans="3:3" x14ac:dyDescent="0.25">
      <c r="C57" s="784"/>
    </row>
    <row r="58" spans="3:3" x14ac:dyDescent="0.25">
      <c r="C58" s="784"/>
    </row>
    <row r="59" spans="3:3" x14ac:dyDescent="0.25">
      <c r="C59" s="784"/>
    </row>
    <row r="60" spans="3:3" x14ac:dyDescent="0.25">
      <c r="C60" s="784"/>
    </row>
    <row r="61" spans="3:3" x14ac:dyDescent="0.25">
      <c r="C61" s="784"/>
    </row>
    <row r="62" spans="3:3" x14ac:dyDescent="0.25">
      <c r="C62" s="784"/>
    </row>
    <row r="63" spans="3:3" x14ac:dyDescent="0.25">
      <c r="C63" s="784"/>
    </row>
    <row r="64" spans="3:3" x14ac:dyDescent="0.25">
      <c r="C64" s="784"/>
    </row>
    <row r="65" spans="3:3" x14ac:dyDescent="0.25">
      <c r="C65" s="784"/>
    </row>
    <row r="66" spans="3:3" x14ac:dyDescent="0.25">
      <c r="C66" s="784"/>
    </row>
    <row r="67" spans="3:3" x14ac:dyDescent="0.25">
      <c r="C67" s="784"/>
    </row>
    <row r="68" spans="3:3" x14ac:dyDescent="0.25">
      <c r="C68" s="784"/>
    </row>
    <row r="69" spans="3:3" x14ac:dyDescent="0.25">
      <c r="C69" s="784"/>
    </row>
    <row r="70" spans="3:3" x14ac:dyDescent="0.25">
      <c r="C70" s="784"/>
    </row>
    <row r="71" spans="3:3" x14ac:dyDescent="0.25">
      <c r="C71" s="784"/>
    </row>
    <row r="72" spans="3:3" x14ac:dyDescent="0.25">
      <c r="C72" s="784"/>
    </row>
    <row r="73" spans="3:3" x14ac:dyDescent="0.25">
      <c r="C73" s="784"/>
    </row>
    <row r="74" spans="3:3" x14ac:dyDescent="0.25">
      <c r="C74" s="784"/>
    </row>
    <row r="75" spans="3:3" x14ac:dyDescent="0.25">
      <c r="C75" s="784"/>
    </row>
    <row r="76" spans="3:3" x14ac:dyDescent="0.25">
      <c r="C76" s="784"/>
    </row>
    <row r="77" spans="3:3" x14ac:dyDescent="0.25">
      <c r="C77" s="784"/>
    </row>
    <row r="78" spans="3:3" x14ac:dyDescent="0.25">
      <c r="C78" s="784"/>
    </row>
    <row r="79" spans="3:3" x14ac:dyDescent="0.25">
      <c r="C79" s="784"/>
    </row>
    <row r="80" spans="3:3" x14ac:dyDescent="0.25">
      <c r="C80" s="784"/>
    </row>
    <row r="81" spans="3:3" x14ac:dyDescent="0.25">
      <c r="C81" s="784"/>
    </row>
    <row r="82" spans="3:3" x14ac:dyDescent="0.25">
      <c r="C82" s="784"/>
    </row>
    <row r="83" spans="3:3" x14ac:dyDescent="0.25">
      <c r="C83" s="784"/>
    </row>
    <row r="84" spans="3:3" x14ac:dyDescent="0.25">
      <c r="C84" s="784"/>
    </row>
    <row r="85" spans="3:3" x14ac:dyDescent="0.25">
      <c r="C85" s="784"/>
    </row>
    <row r="86" spans="3:3" x14ac:dyDescent="0.25">
      <c r="C86" s="784"/>
    </row>
    <row r="87" spans="3:3" x14ac:dyDescent="0.25">
      <c r="C87" s="784"/>
    </row>
    <row r="88" spans="3:3" x14ac:dyDescent="0.25">
      <c r="C88" s="784"/>
    </row>
    <row r="89" spans="3:3" x14ac:dyDescent="0.25">
      <c r="C89" s="784"/>
    </row>
    <row r="90" spans="3:3" x14ac:dyDescent="0.25">
      <c r="C90" s="784"/>
    </row>
    <row r="91" spans="3:3" x14ac:dyDescent="0.25">
      <c r="C91" s="784"/>
    </row>
    <row r="92" spans="3:3" x14ac:dyDescent="0.25">
      <c r="C92" s="784"/>
    </row>
    <row r="93" spans="3:3" x14ac:dyDescent="0.25">
      <c r="C93" s="784"/>
    </row>
    <row r="94" spans="3:3" x14ac:dyDescent="0.25">
      <c r="C94" s="784"/>
    </row>
    <row r="95" spans="3:3" x14ac:dyDescent="0.25">
      <c r="C95" s="784"/>
    </row>
    <row r="96" spans="3:3" x14ac:dyDescent="0.25">
      <c r="C96" s="784"/>
    </row>
    <row r="97" spans="3:3" x14ac:dyDescent="0.25">
      <c r="C97" s="784"/>
    </row>
    <row r="98" spans="3:3" x14ac:dyDescent="0.25">
      <c r="C98" s="784"/>
    </row>
    <row r="99" spans="3:3" x14ac:dyDescent="0.25">
      <c r="C99" s="784"/>
    </row>
    <row r="100" spans="3:3" x14ac:dyDescent="0.25">
      <c r="C100" s="784"/>
    </row>
    <row r="101" spans="3:3" x14ac:dyDescent="0.25">
      <c r="C101" s="784"/>
    </row>
    <row r="102" spans="3:3" x14ac:dyDescent="0.25">
      <c r="C102" s="784"/>
    </row>
    <row r="103" spans="3:3" x14ac:dyDescent="0.25">
      <c r="C103" s="784"/>
    </row>
    <row r="104" spans="3:3" x14ac:dyDescent="0.25">
      <c r="C104" s="784"/>
    </row>
    <row r="105" spans="3:3" x14ac:dyDescent="0.25">
      <c r="C105" s="784"/>
    </row>
    <row r="106" spans="3:3" x14ac:dyDescent="0.25">
      <c r="C106" s="784"/>
    </row>
    <row r="107" spans="3:3" x14ac:dyDescent="0.25">
      <c r="C107" s="784"/>
    </row>
    <row r="108" spans="3:3" x14ac:dyDescent="0.25">
      <c r="C108" s="784"/>
    </row>
    <row r="109" spans="3:3" x14ac:dyDescent="0.25">
      <c r="C109" s="784"/>
    </row>
    <row r="110" spans="3:3" x14ac:dyDescent="0.25">
      <c r="C110" s="784"/>
    </row>
    <row r="111" spans="3:3" x14ac:dyDescent="0.25">
      <c r="C111" s="784"/>
    </row>
    <row r="112" spans="3:3" x14ac:dyDescent="0.25">
      <c r="C112" s="784"/>
    </row>
    <row r="113" spans="3:3" x14ac:dyDescent="0.25">
      <c r="C113" s="784"/>
    </row>
    <row r="114" spans="3:3" x14ac:dyDescent="0.25">
      <c r="C114" s="784"/>
    </row>
    <row r="115" spans="3:3" x14ac:dyDescent="0.25">
      <c r="C115" s="784"/>
    </row>
    <row r="116" spans="3:3" x14ac:dyDescent="0.25">
      <c r="C116" s="784"/>
    </row>
    <row r="117" spans="3:3" x14ac:dyDescent="0.25">
      <c r="C117" s="784"/>
    </row>
    <row r="118" spans="3:3" x14ac:dyDescent="0.25">
      <c r="C118" s="784"/>
    </row>
    <row r="119" spans="3:3" x14ac:dyDescent="0.25">
      <c r="C119" s="784"/>
    </row>
    <row r="120" spans="3:3" x14ac:dyDescent="0.25">
      <c r="C120" s="784"/>
    </row>
    <row r="121" spans="3:3" x14ac:dyDescent="0.25">
      <c r="C121" s="784"/>
    </row>
    <row r="122" spans="3:3" x14ac:dyDescent="0.25">
      <c r="C122" s="784"/>
    </row>
    <row r="123" spans="3:3" x14ac:dyDescent="0.25">
      <c r="C123" s="784"/>
    </row>
    <row r="124" spans="3:3" x14ac:dyDescent="0.25">
      <c r="C124" s="784"/>
    </row>
    <row r="125" spans="3:3" x14ac:dyDescent="0.25">
      <c r="C125" s="784"/>
    </row>
    <row r="126" spans="3:3" x14ac:dyDescent="0.25">
      <c r="C126" s="784"/>
    </row>
    <row r="127" spans="3:3" x14ac:dyDescent="0.25">
      <c r="C127" s="784"/>
    </row>
    <row r="128" spans="3:3" x14ac:dyDescent="0.25">
      <c r="C128" s="784"/>
    </row>
    <row r="129" spans="3:3" x14ac:dyDescent="0.25">
      <c r="C129" s="784"/>
    </row>
    <row r="130" spans="3:3" x14ac:dyDescent="0.25">
      <c r="C130" s="784"/>
    </row>
    <row r="131" spans="3:3" x14ac:dyDescent="0.25">
      <c r="C131" s="784"/>
    </row>
    <row r="132" spans="3:3" x14ac:dyDescent="0.25">
      <c r="C132" s="784"/>
    </row>
    <row r="133" spans="3:3" x14ac:dyDescent="0.25">
      <c r="C133" s="784"/>
    </row>
    <row r="134" spans="3:3" x14ac:dyDescent="0.25">
      <c r="C134" s="784"/>
    </row>
    <row r="135" spans="3:3" x14ac:dyDescent="0.25">
      <c r="C135" s="784"/>
    </row>
    <row r="136" spans="3:3" x14ac:dyDescent="0.25">
      <c r="C136" s="784"/>
    </row>
    <row r="137" spans="3:3" x14ac:dyDescent="0.25">
      <c r="C137" s="784"/>
    </row>
    <row r="138" spans="3:3" x14ac:dyDescent="0.25">
      <c r="C138" s="784"/>
    </row>
    <row r="139" spans="3:3" x14ac:dyDescent="0.25">
      <c r="C139" s="784"/>
    </row>
    <row r="140" spans="3:3" x14ac:dyDescent="0.25">
      <c r="C140" s="784"/>
    </row>
    <row r="141" spans="3:3" x14ac:dyDescent="0.25">
      <c r="C141" s="784"/>
    </row>
    <row r="142" spans="3:3" x14ac:dyDescent="0.25">
      <c r="C142" s="784"/>
    </row>
    <row r="143" spans="3:3" x14ac:dyDescent="0.25">
      <c r="C143" s="784"/>
    </row>
    <row r="144" spans="3:3" x14ac:dyDescent="0.25">
      <c r="C144" s="784"/>
    </row>
    <row r="145" spans="3:3" x14ac:dyDescent="0.25">
      <c r="C145" s="784"/>
    </row>
    <row r="146" spans="3:3" x14ac:dyDescent="0.25">
      <c r="C146" s="784"/>
    </row>
    <row r="147" spans="3:3" x14ac:dyDescent="0.25">
      <c r="C147" s="784"/>
    </row>
    <row r="148" spans="3:3" x14ac:dyDescent="0.25">
      <c r="C148" s="784"/>
    </row>
    <row r="149" spans="3:3" x14ac:dyDescent="0.25">
      <c r="C149" s="784"/>
    </row>
    <row r="150" spans="3:3" x14ac:dyDescent="0.25">
      <c r="C150" s="784"/>
    </row>
    <row r="151" spans="3:3" x14ac:dyDescent="0.25">
      <c r="C151" s="784"/>
    </row>
    <row r="152" spans="3:3" x14ac:dyDescent="0.25">
      <c r="C152" s="784"/>
    </row>
    <row r="153" spans="3:3" x14ac:dyDescent="0.25">
      <c r="C153" s="784"/>
    </row>
    <row r="154" spans="3:3" x14ac:dyDescent="0.25">
      <c r="C154" s="784"/>
    </row>
    <row r="155" spans="3:3" x14ac:dyDescent="0.25">
      <c r="C155" s="784"/>
    </row>
    <row r="156" spans="3:3" x14ac:dyDescent="0.25">
      <c r="C156" s="784"/>
    </row>
    <row r="157" spans="3:3" x14ac:dyDescent="0.25">
      <c r="C157" s="784"/>
    </row>
    <row r="158" spans="3:3" x14ac:dyDescent="0.25">
      <c r="C158" s="784"/>
    </row>
    <row r="159" spans="3:3" x14ac:dyDescent="0.25">
      <c r="C159" s="784"/>
    </row>
    <row r="160" spans="3:3" x14ac:dyDescent="0.25">
      <c r="C160" s="784"/>
    </row>
    <row r="161" spans="3:3" x14ac:dyDescent="0.25">
      <c r="C161" s="784"/>
    </row>
    <row r="162" spans="3:3" x14ac:dyDescent="0.25">
      <c r="C162" s="784"/>
    </row>
    <row r="163" spans="3:3" x14ac:dyDescent="0.25">
      <c r="C163" s="784"/>
    </row>
    <row r="164" spans="3:3" x14ac:dyDescent="0.25">
      <c r="C164" s="784"/>
    </row>
    <row r="165" spans="3:3" x14ac:dyDescent="0.25">
      <c r="C165" s="784"/>
    </row>
    <row r="166" spans="3:3" x14ac:dyDescent="0.25">
      <c r="C166" s="784"/>
    </row>
    <row r="167" spans="3:3" x14ac:dyDescent="0.25">
      <c r="C167" s="784"/>
    </row>
    <row r="168" spans="3:3" x14ac:dyDescent="0.25">
      <c r="C168" s="784"/>
    </row>
    <row r="169" spans="3:3" x14ac:dyDescent="0.25">
      <c r="C169" s="784"/>
    </row>
    <row r="170" spans="3:3" x14ac:dyDescent="0.25">
      <c r="C170" s="784"/>
    </row>
    <row r="171" spans="3:3" x14ac:dyDescent="0.25">
      <c r="C171" s="784"/>
    </row>
    <row r="172" spans="3:3" x14ac:dyDescent="0.25">
      <c r="C172" s="784"/>
    </row>
    <row r="173" spans="3:3" x14ac:dyDescent="0.25">
      <c r="C173" s="784"/>
    </row>
    <row r="174" spans="3:3" x14ac:dyDescent="0.25">
      <c r="C174" s="784"/>
    </row>
    <row r="175" spans="3:3" x14ac:dyDescent="0.25">
      <c r="C175" s="784"/>
    </row>
    <row r="176" spans="3:3" x14ac:dyDescent="0.25">
      <c r="C176" s="784"/>
    </row>
    <row r="177" spans="3:3" x14ac:dyDescent="0.25">
      <c r="C177" s="784"/>
    </row>
    <row r="178" spans="3:3" x14ac:dyDescent="0.25">
      <c r="C178" s="784"/>
    </row>
    <row r="179" spans="3:3" x14ac:dyDescent="0.25">
      <c r="C179" s="784"/>
    </row>
    <row r="180" spans="3:3" x14ac:dyDescent="0.25">
      <c r="C180" s="784"/>
    </row>
    <row r="181" spans="3:3" x14ac:dyDescent="0.25">
      <c r="C181" s="784"/>
    </row>
    <row r="182" spans="3:3" x14ac:dyDescent="0.25">
      <c r="C182" s="784"/>
    </row>
    <row r="183" spans="3:3" x14ac:dyDescent="0.25">
      <c r="C183" s="784"/>
    </row>
    <row r="184" spans="3:3" x14ac:dyDescent="0.25">
      <c r="C184" s="784"/>
    </row>
    <row r="185" spans="3:3" x14ac:dyDescent="0.25">
      <c r="C185" s="784"/>
    </row>
    <row r="186" spans="3:3" x14ac:dyDescent="0.25">
      <c r="C186" s="784"/>
    </row>
    <row r="187" spans="3:3" x14ac:dyDescent="0.25">
      <c r="C187" s="784"/>
    </row>
    <row r="188" spans="3:3" x14ac:dyDescent="0.25">
      <c r="C188" s="784"/>
    </row>
    <row r="189" spans="3:3" x14ac:dyDescent="0.25">
      <c r="C189" s="784"/>
    </row>
    <row r="190" spans="3:3" x14ac:dyDescent="0.25">
      <c r="C190" s="784"/>
    </row>
    <row r="191" spans="3:3" x14ac:dyDescent="0.25">
      <c r="C191" s="784"/>
    </row>
    <row r="192" spans="3:3" x14ac:dyDescent="0.25">
      <c r="C192" s="784"/>
    </row>
    <row r="193" spans="3:3" x14ac:dyDescent="0.25">
      <c r="C193" s="784"/>
    </row>
    <row r="194" spans="3:3" x14ac:dyDescent="0.25">
      <c r="C194" s="784"/>
    </row>
    <row r="195" spans="3:3" x14ac:dyDescent="0.25">
      <c r="C195" s="784"/>
    </row>
    <row r="196" spans="3:3" x14ac:dyDescent="0.25">
      <c r="C196" s="784"/>
    </row>
    <row r="197" spans="3:3" x14ac:dyDescent="0.25">
      <c r="C197" s="784"/>
    </row>
    <row r="198" spans="3:3" x14ac:dyDescent="0.25">
      <c r="C198" s="784"/>
    </row>
    <row r="199" spans="3:3" x14ac:dyDescent="0.25">
      <c r="C199" s="784"/>
    </row>
    <row r="200" spans="3:3" x14ac:dyDescent="0.25">
      <c r="C200" s="784"/>
    </row>
    <row r="201" spans="3:3" x14ac:dyDescent="0.25">
      <c r="C201" s="784"/>
    </row>
    <row r="202" spans="3:3" x14ac:dyDescent="0.25">
      <c r="C202" s="784"/>
    </row>
    <row r="203" spans="3:3" x14ac:dyDescent="0.25">
      <c r="C203" s="784"/>
    </row>
    <row r="204" spans="3:3" x14ac:dyDescent="0.25">
      <c r="C204" s="784"/>
    </row>
    <row r="205" spans="3:3" x14ac:dyDescent="0.25">
      <c r="C205" s="784"/>
    </row>
    <row r="206" spans="3:3" x14ac:dyDescent="0.25">
      <c r="C206" s="784"/>
    </row>
    <row r="207" spans="3:3" x14ac:dyDescent="0.25">
      <c r="C207" s="784"/>
    </row>
    <row r="208" spans="3:3" x14ac:dyDescent="0.25">
      <c r="C208" s="784"/>
    </row>
    <row r="209" spans="3:3" x14ac:dyDescent="0.25">
      <c r="C209" s="784"/>
    </row>
    <row r="210" spans="3:3" x14ac:dyDescent="0.25">
      <c r="C210" s="784"/>
    </row>
    <row r="211" spans="3:3" x14ac:dyDescent="0.25">
      <c r="C211" s="784"/>
    </row>
    <row r="212" spans="3:3" x14ac:dyDescent="0.25">
      <c r="C212" s="784"/>
    </row>
    <row r="213" spans="3:3" x14ac:dyDescent="0.25">
      <c r="C213" s="784"/>
    </row>
    <row r="214" spans="3:3" x14ac:dyDescent="0.25">
      <c r="C214" s="784"/>
    </row>
    <row r="215" spans="3:3" x14ac:dyDescent="0.25">
      <c r="C215" s="784"/>
    </row>
    <row r="216" spans="3:3" x14ac:dyDescent="0.25">
      <c r="C216" s="784"/>
    </row>
    <row r="217" spans="3:3" x14ac:dyDescent="0.25">
      <c r="C217" s="784"/>
    </row>
    <row r="218" spans="3:3" x14ac:dyDescent="0.25">
      <c r="C218" s="784"/>
    </row>
    <row r="219" spans="3:3" x14ac:dyDescent="0.25">
      <c r="C219" s="784"/>
    </row>
    <row r="220" spans="3:3" x14ac:dyDescent="0.25">
      <c r="C220" s="784"/>
    </row>
    <row r="221" spans="3:3" x14ac:dyDescent="0.25">
      <c r="C221" s="784"/>
    </row>
    <row r="222" spans="3:3" x14ac:dyDescent="0.25">
      <c r="C222" s="784"/>
    </row>
    <row r="223" spans="3:3" x14ac:dyDescent="0.25">
      <c r="C223" s="784"/>
    </row>
    <row r="224" spans="3:3" x14ac:dyDescent="0.25">
      <c r="C224" s="784"/>
    </row>
    <row r="225" spans="3:3" x14ac:dyDescent="0.25">
      <c r="C225" s="784"/>
    </row>
    <row r="226" spans="3:3" x14ac:dyDescent="0.25">
      <c r="C226" s="784"/>
    </row>
    <row r="227" spans="3:3" x14ac:dyDescent="0.25">
      <c r="C227" s="784"/>
    </row>
    <row r="228" spans="3:3" x14ac:dyDescent="0.25">
      <c r="C228" s="784"/>
    </row>
    <row r="229" spans="3:3" x14ac:dyDescent="0.25">
      <c r="C229" s="784"/>
    </row>
    <row r="230" spans="3:3" x14ac:dyDescent="0.25">
      <c r="C230" s="784"/>
    </row>
    <row r="231" spans="3:3" x14ac:dyDescent="0.25">
      <c r="C231" s="784"/>
    </row>
    <row r="232" spans="3:3" x14ac:dyDescent="0.25">
      <c r="C232" s="784"/>
    </row>
    <row r="233" spans="3:3" x14ac:dyDescent="0.25">
      <c r="C233" s="784"/>
    </row>
    <row r="234" spans="3:3" x14ac:dyDescent="0.25">
      <c r="C234" s="784"/>
    </row>
    <row r="235" spans="3:3" x14ac:dyDescent="0.25">
      <c r="C235" s="784"/>
    </row>
    <row r="236" spans="3:3" x14ac:dyDescent="0.25">
      <c r="C236" s="784"/>
    </row>
    <row r="237" spans="3:3" x14ac:dyDescent="0.25">
      <c r="C237" s="784"/>
    </row>
    <row r="238" spans="3:3" x14ac:dyDescent="0.25">
      <c r="C238" s="784"/>
    </row>
    <row r="239" spans="3:3" x14ac:dyDescent="0.25">
      <c r="C239" s="784"/>
    </row>
    <row r="240" spans="3:3" x14ac:dyDescent="0.25">
      <c r="C240" s="784"/>
    </row>
    <row r="241" spans="3:3" x14ac:dyDescent="0.25">
      <c r="C241" s="784"/>
    </row>
    <row r="242" spans="3:3" x14ac:dyDescent="0.25">
      <c r="C242" s="784"/>
    </row>
    <row r="243" spans="3:3" x14ac:dyDescent="0.25">
      <c r="C243" s="784"/>
    </row>
    <row r="244" spans="3:3" x14ac:dyDescent="0.25">
      <c r="C244" s="784"/>
    </row>
    <row r="245" spans="3:3" x14ac:dyDescent="0.25">
      <c r="C245" s="784"/>
    </row>
    <row r="246" spans="3:3" x14ac:dyDescent="0.25">
      <c r="C246" s="784"/>
    </row>
    <row r="247" spans="3:3" x14ac:dyDescent="0.25">
      <c r="C247" s="784"/>
    </row>
    <row r="248" spans="3:3" x14ac:dyDescent="0.25">
      <c r="C248" s="784"/>
    </row>
    <row r="249" spans="3:3" x14ac:dyDescent="0.25">
      <c r="C249" s="784"/>
    </row>
    <row r="250" spans="3:3" x14ac:dyDescent="0.25">
      <c r="C250" s="784"/>
    </row>
    <row r="251" spans="3:3" x14ac:dyDescent="0.25">
      <c r="C251" s="784"/>
    </row>
    <row r="252" spans="3:3" x14ac:dyDescent="0.25">
      <c r="C252" s="784"/>
    </row>
    <row r="253" spans="3:3" x14ac:dyDescent="0.25">
      <c r="C253" s="784"/>
    </row>
    <row r="254" spans="3:3" x14ac:dyDescent="0.25">
      <c r="C254" s="784"/>
    </row>
    <row r="255" spans="3:3" x14ac:dyDescent="0.25">
      <c r="C255" s="784"/>
    </row>
    <row r="256" spans="3:3" x14ac:dyDescent="0.25">
      <c r="C256" s="784"/>
    </row>
    <row r="257" spans="3:3" x14ac:dyDescent="0.25">
      <c r="C257" s="784"/>
    </row>
    <row r="258" spans="3:3" x14ac:dyDescent="0.25">
      <c r="C258" s="784"/>
    </row>
    <row r="259" spans="3:3" x14ac:dyDescent="0.25">
      <c r="C259" s="784"/>
    </row>
    <row r="260" spans="3:3" x14ac:dyDescent="0.25">
      <c r="C260" s="784"/>
    </row>
    <row r="261" spans="3:3" x14ac:dyDescent="0.25">
      <c r="C261" s="784"/>
    </row>
    <row r="262" spans="3:3" x14ac:dyDescent="0.25">
      <c r="C262" s="784"/>
    </row>
    <row r="263" spans="3:3" x14ac:dyDescent="0.25">
      <c r="C263" s="784"/>
    </row>
    <row r="264" spans="3:3" x14ac:dyDescent="0.25">
      <c r="C264" s="784"/>
    </row>
    <row r="265" spans="3:3" x14ac:dyDescent="0.25">
      <c r="C265" s="784"/>
    </row>
    <row r="266" spans="3:3" x14ac:dyDescent="0.25">
      <c r="C266" s="784"/>
    </row>
    <row r="267" spans="3:3" x14ac:dyDescent="0.25">
      <c r="C267" s="784"/>
    </row>
    <row r="268" spans="3:3" x14ac:dyDescent="0.25">
      <c r="C268" s="784"/>
    </row>
    <row r="269" spans="3:3" x14ac:dyDescent="0.25">
      <c r="C269" s="784"/>
    </row>
    <row r="270" spans="3:3" x14ac:dyDescent="0.25">
      <c r="C270" s="784"/>
    </row>
    <row r="271" spans="3:3" x14ac:dyDescent="0.25">
      <c r="C271" s="784"/>
    </row>
    <row r="272" spans="3:3" x14ac:dyDescent="0.25">
      <c r="C272" s="784"/>
    </row>
    <row r="273" spans="3:3" x14ac:dyDescent="0.25">
      <c r="C273" s="784"/>
    </row>
    <row r="274" spans="3:3" x14ac:dyDescent="0.25">
      <c r="C274" s="784"/>
    </row>
    <row r="275" spans="3:3" x14ac:dyDescent="0.25">
      <c r="C275" s="784"/>
    </row>
    <row r="276" spans="3:3" x14ac:dyDescent="0.25">
      <c r="C276" s="784"/>
    </row>
    <row r="277" spans="3:3" x14ac:dyDescent="0.25">
      <c r="C277" s="784"/>
    </row>
    <row r="278" spans="3:3" x14ac:dyDescent="0.25">
      <c r="C278" s="784"/>
    </row>
    <row r="279" spans="3:3" x14ac:dyDescent="0.25">
      <c r="C279" s="784"/>
    </row>
    <row r="280" spans="3:3" x14ac:dyDescent="0.25">
      <c r="C280" s="784"/>
    </row>
    <row r="281" spans="3:3" x14ac:dyDescent="0.25">
      <c r="C281" s="784"/>
    </row>
    <row r="282" spans="3:3" x14ac:dyDescent="0.25">
      <c r="C282" s="784"/>
    </row>
    <row r="283" spans="3:3" x14ac:dyDescent="0.25">
      <c r="C283" s="784"/>
    </row>
    <row r="284" spans="3:3" x14ac:dyDescent="0.25">
      <c r="C284" s="784"/>
    </row>
    <row r="285" spans="3:3" x14ac:dyDescent="0.25">
      <c r="C285" s="784"/>
    </row>
    <row r="286" spans="3:3" x14ac:dyDescent="0.25">
      <c r="C286" s="784"/>
    </row>
    <row r="287" spans="3:3" x14ac:dyDescent="0.25">
      <c r="C287" s="784"/>
    </row>
    <row r="288" spans="3:3" x14ac:dyDescent="0.25">
      <c r="C288" s="784"/>
    </row>
    <row r="289" spans="3:3" x14ac:dyDescent="0.25">
      <c r="C289" s="784"/>
    </row>
    <row r="290" spans="3:3" x14ac:dyDescent="0.25">
      <c r="C290" s="784"/>
    </row>
    <row r="291" spans="3:3" x14ac:dyDescent="0.25">
      <c r="C291" s="784"/>
    </row>
    <row r="292" spans="3:3" x14ac:dyDescent="0.25">
      <c r="C292" s="784"/>
    </row>
    <row r="293" spans="3:3" x14ac:dyDescent="0.25">
      <c r="C293" s="784"/>
    </row>
    <row r="294" spans="3:3" x14ac:dyDescent="0.25">
      <c r="C294" s="784"/>
    </row>
    <row r="295" spans="3:3" x14ac:dyDescent="0.25">
      <c r="C295" s="784"/>
    </row>
    <row r="296" spans="3:3" x14ac:dyDescent="0.25">
      <c r="C296" s="784"/>
    </row>
    <row r="297" spans="3:3" x14ac:dyDescent="0.25">
      <c r="C297" s="784"/>
    </row>
    <row r="298" spans="3:3" x14ac:dyDescent="0.25">
      <c r="C298" s="784"/>
    </row>
    <row r="299" spans="3:3" x14ac:dyDescent="0.25">
      <c r="C299" s="784"/>
    </row>
    <row r="300" spans="3:3" x14ac:dyDescent="0.25">
      <c r="C300" s="784"/>
    </row>
    <row r="301" spans="3:3" x14ac:dyDescent="0.25">
      <c r="C301" s="784"/>
    </row>
    <row r="302" spans="3:3" x14ac:dyDescent="0.25">
      <c r="C302" s="784"/>
    </row>
    <row r="303" spans="3:3" x14ac:dyDescent="0.25">
      <c r="C303" s="784"/>
    </row>
    <row r="304" spans="3:3" x14ac:dyDescent="0.25">
      <c r="C304" s="784"/>
    </row>
    <row r="305" spans="3:3" x14ac:dyDescent="0.25">
      <c r="C305" s="784"/>
    </row>
    <row r="306" spans="3:3" x14ac:dyDescent="0.25">
      <c r="C306" s="784"/>
    </row>
    <row r="307" spans="3:3" x14ac:dyDescent="0.25">
      <c r="C307" s="784"/>
    </row>
    <row r="308" spans="3:3" x14ac:dyDescent="0.25">
      <c r="C308" s="784"/>
    </row>
    <row r="309" spans="3:3" x14ac:dyDescent="0.25">
      <c r="C309" s="784"/>
    </row>
    <row r="310" spans="3:3" x14ac:dyDescent="0.25">
      <c r="C310" s="784"/>
    </row>
    <row r="311" spans="3:3" x14ac:dyDescent="0.25">
      <c r="C311" s="784"/>
    </row>
    <row r="312" spans="3:3" x14ac:dyDescent="0.25">
      <c r="C312" s="784"/>
    </row>
    <row r="313" spans="3:3" x14ac:dyDescent="0.25">
      <c r="C313" s="784"/>
    </row>
    <row r="314" spans="3:3" x14ac:dyDescent="0.25">
      <c r="C314" s="784"/>
    </row>
    <row r="315" spans="3:3" x14ac:dyDescent="0.25">
      <c r="C315" s="784"/>
    </row>
    <row r="316" spans="3:3" x14ac:dyDescent="0.25">
      <c r="C316" s="784"/>
    </row>
    <row r="317" spans="3:3" x14ac:dyDescent="0.25">
      <c r="C317" s="784"/>
    </row>
    <row r="318" spans="3:3" x14ac:dyDescent="0.25">
      <c r="C318" s="784"/>
    </row>
    <row r="319" spans="3:3" x14ac:dyDescent="0.25">
      <c r="C319" s="784"/>
    </row>
    <row r="320" spans="3:3" x14ac:dyDescent="0.25">
      <c r="C320" s="784"/>
    </row>
    <row r="321" spans="3:3" x14ac:dyDescent="0.25">
      <c r="C321" s="784"/>
    </row>
    <row r="322" spans="3:3" x14ac:dyDescent="0.25">
      <c r="C322" s="784"/>
    </row>
    <row r="323" spans="3:3" x14ac:dyDescent="0.25">
      <c r="C323" s="784"/>
    </row>
    <row r="324" spans="3:3" x14ac:dyDescent="0.25">
      <c r="C324" s="784"/>
    </row>
    <row r="325" spans="3:3" x14ac:dyDescent="0.25">
      <c r="C325" s="784"/>
    </row>
    <row r="326" spans="3:3" x14ac:dyDescent="0.25">
      <c r="C326" s="784"/>
    </row>
    <row r="327" spans="3:3" x14ac:dyDescent="0.25">
      <c r="C327" s="784"/>
    </row>
    <row r="328" spans="3:3" x14ac:dyDescent="0.25">
      <c r="C328" s="784"/>
    </row>
    <row r="329" spans="3:3" x14ac:dyDescent="0.25">
      <c r="C329" s="784"/>
    </row>
    <row r="330" spans="3:3" x14ac:dyDescent="0.25">
      <c r="C330" s="784"/>
    </row>
    <row r="331" spans="3:3" x14ac:dyDescent="0.25">
      <c r="C331" s="784"/>
    </row>
    <row r="332" spans="3:3" x14ac:dyDescent="0.25">
      <c r="C332" s="784"/>
    </row>
    <row r="333" spans="3:3" x14ac:dyDescent="0.25">
      <c r="C333" s="784"/>
    </row>
    <row r="334" spans="3:3" x14ac:dyDescent="0.25">
      <c r="C334" s="784"/>
    </row>
    <row r="335" spans="3:3" x14ac:dyDescent="0.25">
      <c r="C335" s="784"/>
    </row>
    <row r="336" spans="3:3" x14ac:dyDescent="0.25">
      <c r="C336" s="784"/>
    </row>
    <row r="337" spans="3:3" x14ac:dyDescent="0.25">
      <c r="C337" s="784"/>
    </row>
    <row r="338" spans="3:3" x14ac:dyDescent="0.25">
      <c r="C338" s="784"/>
    </row>
    <row r="339" spans="3:3" x14ac:dyDescent="0.25">
      <c r="C339" s="784"/>
    </row>
    <row r="340" spans="3:3" x14ac:dyDescent="0.25">
      <c r="C340" s="784"/>
    </row>
    <row r="341" spans="3:3" x14ac:dyDescent="0.25">
      <c r="C341" s="784"/>
    </row>
    <row r="342" spans="3:3" x14ac:dyDescent="0.25">
      <c r="C342" s="784"/>
    </row>
    <row r="343" spans="3:3" x14ac:dyDescent="0.25">
      <c r="C343" s="784"/>
    </row>
    <row r="344" spans="3:3" x14ac:dyDescent="0.25">
      <c r="C344" s="784"/>
    </row>
    <row r="345" spans="3:3" x14ac:dyDescent="0.25">
      <c r="C345" s="784"/>
    </row>
    <row r="346" spans="3:3" x14ac:dyDescent="0.25">
      <c r="C346" s="784"/>
    </row>
    <row r="347" spans="3:3" x14ac:dyDescent="0.25">
      <c r="C347" s="784"/>
    </row>
    <row r="348" spans="3:3" x14ac:dyDescent="0.25">
      <c r="C348" s="784"/>
    </row>
    <row r="349" spans="3:3" x14ac:dyDescent="0.25">
      <c r="C349" s="784"/>
    </row>
    <row r="350" spans="3:3" x14ac:dyDescent="0.25">
      <c r="C350" s="784"/>
    </row>
    <row r="351" spans="3:3" x14ac:dyDescent="0.25">
      <c r="C351" s="784"/>
    </row>
    <row r="352" spans="3:3" x14ac:dyDescent="0.25">
      <c r="C352" s="784"/>
    </row>
    <row r="353" spans="3:3" x14ac:dyDescent="0.25">
      <c r="C353" s="784"/>
    </row>
    <row r="354" spans="3:3" x14ac:dyDescent="0.25">
      <c r="C354" s="784"/>
    </row>
    <row r="355" spans="3:3" x14ac:dyDescent="0.25">
      <c r="C355" s="784"/>
    </row>
    <row r="356" spans="3:3" x14ac:dyDescent="0.25">
      <c r="C356" s="784"/>
    </row>
    <row r="357" spans="3:3" x14ac:dyDescent="0.25">
      <c r="C357" s="784"/>
    </row>
    <row r="358" spans="3:3" x14ac:dyDescent="0.25">
      <c r="C358" s="784"/>
    </row>
    <row r="359" spans="3:3" x14ac:dyDescent="0.25">
      <c r="C359" s="784"/>
    </row>
    <row r="360" spans="3:3" x14ac:dyDescent="0.25">
      <c r="C360" s="784"/>
    </row>
    <row r="361" spans="3:3" x14ac:dyDescent="0.25">
      <c r="C361" s="784"/>
    </row>
    <row r="362" spans="3:3" x14ac:dyDescent="0.25">
      <c r="C362" s="784"/>
    </row>
    <row r="363" spans="3:3" x14ac:dyDescent="0.25">
      <c r="C363" s="784"/>
    </row>
    <row r="364" spans="3:3" x14ac:dyDescent="0.25">
      <c r="C364" s="784"/>
    </row>
    <row r="365" spans="3:3" x14ac:dyDescent="0.25">
      <c r="C365" s="784"/>
    </row>
    <row r="366" spans="3:3" x14ac:dyDescent="0.25">
      <c r="C366" s="784"/>
    </row>
    <row r="367" spans="3:3" x14ac:dyDescent="0.25">
      <c r="C367" s="784"/>
    </row>
    <row r="368" spans="3:3" x14ac:dyDescent="0.25">
      <c r="C368" s="784"/>
    </row>
    <row r="369" spans="3:3" x14ac:dyDescent="0.25">
      <c r="C369" s="784"/>
    </row>
    <row r="370" spans="3:3" x14ac:dyDescent="0.25">
      <c r="C370" s="784"/>
    </row>
    <row r="371" spans="3:3" x14ac:dyDescent="0.25">
      <c r="C371" s="784"/>
    </row>
    <row r="372" spans="3:3" x14ac:dyDescent="0.25">
      <c r="C372" s="784"/>
    </row>
    <row r="373" spans="3:3" x14ac:dyDescent="0.25">
      <c r="C373" s="784"/>
    </row>
    <row r="374" spans="3:3" x14ac:dyDescent="0.25">
      <c r="C374" s="784"/>
    </row>
    <row r="375" spans="3:3" x14ac:dyDescent="0.25">
      <c r="C375" s="784"/>
    </row>
    <row r="376" spans="3:3" x14ac:dyDescent="0.25">
      <c r="C376" s="784"/>
    </row>
    <row r="377" spans="3:3" x14ac:dyDescent="0.25">
      <c r="C377" s="784"/>
    </row>
    <row r="378" spans="3:3" x14ac:dyDescent="0.25">
      <c r="C378" s="784"/>
    </row>
    <row r="379" spans="3:3" x14ac:dyDescent="0.25">
      <c r="C379" s="784"/>
    </row>
    <row r="380" spans="3:3" x14ac:dyDescent="0.25">
      <c r="C380" s="784"/>
    </row>
    <row r="381" spans="3:3" x14ac:dyDescent="0.25">
      <c r="C381" s="784"/>
    </row>
    <row r="382" spans="3:3" x14ac:dyDescent="0.25">
      <c r="C382" s="784"/>
    </row>
    <row r="383" spans="3:3" x14ac:dyDescent="0.25">
      <c r="C383" s="784"/>
    </row>
    <row r="384" spans="3:3" x14ac:dyDescent="0.25">
      <c r="C384" s="784"/>
    </row>
    <row r="385" spans="3:3" x14ac:dyDescent="0.25">
      <c r="C385" s="784"/>
    </row>
    <row r="386" spans="3:3" x14ac:dyDescent="0.25">
      <c r="C386" s="784"/>
    </row>
    <row r="387" spans="3:3" x14ac:dyDescent="0.25">
      <c r="C387" s="784"/>
    </row>
    <row r="388" spans="3:3" x14ac:dyDescent="0.25">
      <c r="C388" s="784"/>
    </row>
    <row r="389" spans="3:3" x14ac:dyDescent="0.25">
      <c r="C389" s="784"/>
    </row>
    <row r="390" spans="3:3" x14ac:dyDescent="0.25">
      <c r="C390" s="784"/>
    </row>
    <row r="391" spans="3:3" x14ac:dyDescent="0.25">
      <c r="C391" s="784"/>
    </row>
    <row r="392" spans="3:3" x14ac:dyDescent="0.25">
      <c r="C392" s="784"/>
    </row>
    <row r="393" spans="3:3" x14ac:dyDescent="0.25">
      <c r="C393" s="784"/>
    </row>
    <row r="394" spans="3:3" x14ac:dyDescent="0.25">
      <c r="C394" s="784"/>
    </row>
    <row r="395" spans="3:3" x14ac:dyDescent="0.25">
      <c r="C395" s="784"/>
    </row>
    <row r="396" spans="3:3" x14ac:dyDescent="0.25">
      <c r="C396" s="784"/>
    </row>
    <row r="397" spans="3:3" x14ac:dyDescent="0.25">
      <c r="C397" s="784"/>
    </row>
    <row r="398" spans="3:3" x14ac:dyDescent="0.25">
      <c r="C398" s="784"/>
    </row>
    <row r="399" spans="3:3" x14ac:dyDescent="0.25">
      <c r="C399" s="784"/>
    </row>
    <row r="400" spans="3:3" x14ac:dyDescent="0.25">
      <c r="C400" s="784"/>
    </row>
    <row r="401" spans="3:3" x14ac:dyDescent="0.25">
      <c r="C401" s="784"/>
    </row>
    <row r="402" spans="3:3" x14ac:dyDescent="0.25">
      <c r="C402" s="784"/>
    </row>
    <row r="403" spans="3:3" x14ac:dyDescent="0.25">
      <c r="C403" s="784"/>
    </row>
    <row r="404" spans="3:3" x14ac:dyDescent="0.25">
      <c r="C404" s="784"/>
    </row>
    <row r="405" spans="3:3" x14ac:dyDescent="0.25">
      <c r="C405" s="784"/>
    </row>
    <row r="406" spans="3:3" x14ac:dyDescent="0.25">
      <c r="C406" s="784"/>
    </row>
    <row r="407" spans="3:3" x14ac:dyDescent="0.25">
      <c r="C407" s="784"/>
    </row>
    <row r="408" spans="3:3" x14ac:dyDescent="0.25">
      <c r="C408" s="784"/>
    </row>
    <row r="409" spans="3:3" x14ac:dyDescent="0.25">
      <c r="C409" s="784"/>
    </row>
    <row r="410" spans="3:3" x14ac:dyDescent="0.25">
      <c r="C410" s="784"/>
    </row>
    <row r="411" spans="3:3" x14ac:dyDescent="0.25">
      <c r="C411" s="784"/>
    </row>
    <row r="412" spans="3:3" x14ac:dyDescent="0.25">
      <c r="C412" s="784"/>
    </row>
    <row r="413" spans="3:3" x14ac:dyDescent="0.25">
      <c r="C413" s="784"/>
    </row>
    <row r="414" spans="3:3" x14ac:dyDescent="0.25">
      <c r="C414" s="784"/>
    </row>
    <row r="415" spans="3:3" x14ac:dyDescent="0.25">
      <c r="C415" s="784"/>
    </row>
    <row r="416" spans="3:3" x14ac:dyDescent="0.25">
      <c r="C416" s="784"/>
    </row>
    <row r="417" spans="3:3" x14ac:dyDescent="0.25">
      <c r="C417" s="784"/>
    </row>
    <row r="418" spans="3:3" x14ac:dyDescent="0.25">
      <c r="C418" s="784"/>
    </row>
    <row r="419" spans="3:3" x14ac:dyDescent="0.25">
      <c r="C419" s="784"/>
    </row>
    <row r="420" spans="3:3" x14ac:dyDescent="0.25">
      <c r="C420" s="784"/>
    </row>
    <row r="421" spans="3:3" x14ac:dyDescent="0.25">
      <c r="C421" s="784"/>
    </row>
    <row r="422" spans="3:3" x14ac:dyDescent="0.25">
      <c r="C422" s="784"/>
    </row>
    <row r="423" spans="3:3" x14ac:dyDescent="0.25">
      <c r="C423" s="784"/>
    </row>
    <row r="424" spans="3:3" x14ac:dyDescent="0.25">
      <c r="C424" s="784"/>
    </row>
    <row r="425" spans="3:3" x14ac:dyDescent="0.25">
      <c r="C425" s="784"/>
    </row>
    <row r="426" spans="3:3" x14ac:dyDescent="0.25">
      <c r="C426" s="784"/>
    </row>
    <row r="427" spans="3:3" x14ac:dyDescent="0.25">
      <c r="C427" s="784"/>
    </row>
    <row r="428" spans="3:3" x14ac:dyDescent="0.25">
      <c r="C428" s="784"/>
    </row>
    <row r="429" spans="3:3" x14ac:dyDescent="0.25">
      <c r="C429" s="784"/>
    </row>
    <row r="430" spans="3:3" x14ac:dyDescent="0.25">
      <c r="C430" s="784"/>
    </row>
    <row r="431" spans="3:3" x14ac:dyDescent="0.25">
      <c r="C431" s="784"/>
    </row>
    <row r="432" spans="3:3" x14ac:dyDescent="0.25">
      <c r="C432" s="784"/>
    </row>
    <row r="433" spans="3:3" x14ac:dyDescent="0.25">
      <c r="C433" s="784"/>
    </row>
    <row r="434" spans="3:3" x14ac:dyDescent="0.25">
      <c r="C434" s="784"/>
    </row>
    <row r="435" spans="3:3" x14ac:dyDescent="0.25">
      <c r="C435" s="784"/>
    </row>
    <row r="436" spans="3:3" x14ac:dyDescent="0.25">
      <c r="C436" s="784"/>
    </row>
    <row r="437" spans="3:3" x14ac:dyDescent="0.25">
      <c r="C437" s="784"/>
    </row>
    <row r="438" spans="3:3" x14ac:dyDescent="0.25">
      <c r="C438" s="784"/>
    </row>
    <row r="439" spans="3:3" x14ac:dyDescent="0.25">
      <c r="C439" s="784"/>
    </row>
    <row r="440" spans="3:3" x14ac:dyDescent="0.25">
      <c r="C440" s="784"/>
    </row>
    <row r="441" spans="3:3" x14ac:dyDescent="0.25">
      <c r="C441" s="784"/>
    </row>
    <row r="442" spans="3:3" x14ac:dyDescent="0.25">
      <c r="C442" s="784"/>
    </row>
    <row r="443" spans="3:3" x14ac:dyDescent="0.25">
      <c r="C443" s="784"/>
    </row>
    <row r="444" spans="3:3" x14ac:dyDescent="0.25">
      <c r="C444" s="784"/>
    </row>
    <row r="445" spans="3:3" x14ac:dyDescent="0.25">
      <c r="C445" s="784"/>
    </row>
    <row r="446" spans="3:3" x14ac:dyDescent="0.25">
      <c r="C446" s="784"/>
    </row>
    <row r="447" spans="3:3" x14ac:dyDescent="0.25">
      <c r="C447" s="784"/>
    </row>
    <row r="448" spans="3:3" x14ac:dyDescent="0.25">
      <c r="C448" s="784"/>
    </row>
    <row r="449" spans="3:3" x14ac:dyDescent="0.25">
      <c r="C449" s="784"/>
    </row>
    <row r="450" spans="3:3" x14ac:dyDescent="0.25">
      <c r="C450" s="784"/>
    </row>
    <row r="451" spans="3:3" x14ac:dyDescent="0.25">
      <c r="C451" s="784"/>
    </row>
    <row r="452" spans="3:3" x14ac:dyDescent="0.25">
      <c r="C452" s="784"/>
    </row>
    <row r="453" spans="3:3" x14ac:dyDescent="0.25">
      <c r="C453" s="784"/>
    </row>
    <row r="454" spans="3:3" x14ac:dyDescent="0.25">
      <c r="C454" s="784"/>
    </row>
    <row r="455" spans="3:3" x14ac:dyDescent="0.25">
      <c r="C455" s="784"/>
    </row>
    <row r="456" spans="3:3" x14ac:dyDescent="0.25">
      <c r="C456" s="784"/>
    </row>
    <row r="457" spans="3:3" x14ac:dyDescent="0.25">
      <c r="C457" s="784"/>
    </row>
    <row r="458" spans="3:3" x14ac:dyDescent="0.25">
      <c r="C458" s="784"/>
    </row>
    <row r="459" spans="3:3" x14ac:dyDescent="0.25">
      <c r="C459" s="784"/>
    </row>
    <row r="460" spans="3:3" x14ac:dyDescent="0.25">
      <c r="C460" s="784"/>
    </row>
    <row r="461" spans="3:3" x14ac:dyDescent="0.25">
      <c r="C461" s="784"/>
    </row>
    <row r="462" spans="3:3" x14ac:dyDescent="0.25">
      <c r="C462" s="784"/>
    </row>
    <row r="463" spans="3:3" x14ac:dyDescent="0.25">
      <c r="C463" s="784"/>
    </row>
    <row r="464" spans="3:3" x14ac:dyDescent="0.25">
      <c r="C464" s="784"/>
    </row>
    <row r="465" spans="3:3" x14ac:dyDescent="0.25">
      <c r="C465" s="784"/>
    </row>
    <row r="466" spans="3:3" x14ac:dyDescent="0.25">
      <c r="C466" s="784"/>
    </row>
    <row r="467" spans="3:3" x14ac:dyDescent="0.25">
      <c r="C467" s="784"/>
    </row>
    <row r="468" spans="3:3" x14ac:dyDescent="0.25">
      <c r="C468" s="784"/>
    </row>
    <row r="469" spans="3:3" x14ac:dyDescent="0.25">
      <c r="C469" s="784"/>
    </row>
    <row r="470" spans="3:3" x14ac:dyDescent="0.25">
      <c r="C470" s="784"/>
    </row>
    <row r="471" spans="3:3" x14ac:dyDescent="0.25">
      <c r="C471" s="784"/>
    </row>
    <row r="472" spans="3:3" x14ac:dyDescent="0.25">
      <c r="C472" s="784"/>
    </row>
    <row r="473" spans="3:3" x14ac:dyDescent="0.25">
      <c r="C473" s="784"/>
    </row>
    <row r="474" spans="3:3" x14ac:dyDescent="0.25">
      <c r="C474" s="784"/>
    </row>
    <row r="475" spans="3:3" x14ac:dyDescent="0.25">
      <c r="C475" s="784"/>
    </row>
    <row r="476" spans="3:3" x14ac:dyDescent="0.25">
      <c r="C476" s="784"/>
    </row>
    <row r="477" spans="3:3" x14ac:dyDescent="0.25">
      <c r="C477" s="784"/>
    </row>
    <row r="478" spans="3:3" x14ac:dyDescent="0.25">
      <c r="C478" s="784"/>
    </row>
    <row r="479" spans="3:3" x14ac:dyDescent="0.25">
      <c r="C479" s="784"/>
    </row>
    <row r="480" spans="3:3" x14ac:dyDescent="0.25">
      <c r="C480" s="784"/>
    </row>
    <row r="481" spans="3:3" x14ac:dyDescent="0.25">
      <c r="C481" s="784"/>
    </row>
    <row r="482" spans="3:3" x14ac:dyDescent="0.25">
      <c r="C482" s="784"/>
    </row>
    <row r="483" spans="3:3" x14ac:dyDescent="0.25">
      <c r="C483" s="784"/>
    </row>
    <row r="484" spans="3:3" x14ac:dyDescent="0.25">
      <c r="C484" s="784"/>
    </row>
    <row r="485" spans="3:3" x14ac:dyDescent="0.25">
      <c r="C485" s="784"/>
    </row>
    <row r="486" spans="3:3" x14ac:dyDescent="0.25">
      <c r="C486" s="784"/>
    </row>
    <row r="487" spans="3:3" x14ac:dyDescent="0.25">
      <c r="C487" s="784"/>
    </row>
    <row r="488" spans="3:3" x14ac:dyDescent="0.25">
      <c r="C488" s="784"/>
    </row>
    <row r="489" spans="3:3" x14ac:dyDescent="0.25">
      <c r="C489" s="784"/>
    </row>
    <row r="490" spans="3:3" x14ac:dyDescent="0.25">
      <c r="C490" s="784"/>
    </row>
    <row r="491" spans="3:3" x14ac:dyDescent="0.25">
      <c r="C491" s="784"/>
    </row>
    <row r="492" spans="3:3" x14ac:dyDescent="0.25">
      <c r="C492" s="784"/>
    </row>
    <row r="493" spans="3:3" x14ac:dyDescent="0.25">
      <c r="C493" s="784"/>
    </row>
    <row r="494" spans="3:3" x14ac:dyDescent="0.25">
      <c r="C494" s="784"/>
    </row>
    <row r="495" spans="3:3" x14ac:dyDescent="0.25">
      <c r="C495" s="784"/>
    </row>
    <row r="496" spans="3:3" x14ac:dyDescent="0.25">
      <c r="C496" s="784"/>
    </row>
    <row r="497" spans="3:3" x14ac:dyDescent="0.25">
      <c r="C497" s="784"/>
    </row>
    <row r="498" spans="3:3" x14ac:dyDescent="0.25">
      <c r="C498" s="784"/>
    </row>
    <row r="499" spans="3:3" x14ac:dyDescent="0.25">
      <c r="C499" s="784"/>
    </row>
    <row r="500" spans="3:3" x14ac:dyDescent="0.25">
      <c r="C500" s="784"/>
    </row>
    <row r="501" spans="3:3" x14ac:dyDescent="0.25">
      <c r="C501" s="784"/>
    </row>
    <row r="502" spans="3:3" x14ac:dyDescent="0.25">
      <c r="C502" s="784"/>
    </row>
    <row r="503" spans="3:3" x14ac:dyDescent="0.25">
      <c r="C503" s="784"/>
    </row>
    <row r="504" spans="3:3" x14ac:dyDescent="0.25">
      <c r="C504" s="784"/>
    </row>
    <row r="505" spans="3:3" x14ac:dyDescent="0.25">
      <c r="C505" s="784"/>
    </row>
    <row r="506" spans="3:3" x14ac:dyDescent="0.25">
      <c r="C506" s="784"/>
    </row>
    <row r="507" spans="3:3" x14ac:dyDescent="0.25">
      <c r="C507" s="784"/>
    </row>
    <row r="508" spans="3:3" x14ac:dyDescent="0.25">
      <c r="C508" s="784"/>
    </row>
    <row r="509" spans="3:3" x14ac:dyDescent="0.25">
      <c r="C509" s="784"/>
    </row>
    <row r="510" spans="3:3" x14ac:dyDescent="0.25">
      <c r="C510" s="784"/>
    </row>
    <row r="511" spans="3:3" x14ac:dyDescent="0.25">
      <c r="C511" s="784"/>
    </row>
    <row r="512" spans="3:3" x14ac:dyDescent="0.25">
      <c r="C512" s="784"/>
    </row>
    <row r="513" spans="3:3" x14ac:dyDescent="0.25">
      <c r="C513" s="784"/>
    </row>
    <row r="514" spans="3:3" x14ac:dyDescent="0.25">
      <c r="C514" s="784"/>
    </row>
    <row r="515" spans="3:3" x14ac:dyDescent="0.25">
      <c r="C515" s="784"/>
    </row>
    <row r="516" spans="3:3" x14ac:dyDescent="0.25">
      <c r="C516" s="784"/>
    </row>
    <row r="517" spans="3:3" x14ac:dyDescent="0.25">
      <c r="C517" s="784"/>
    </row>
    <row r="518" spans="3:3" x14ac:dyDescent="0.25">
      <c r="C518" s="784"/>
    </row>
    <row r="519" spans="3:3" x14ac:dyDescent="0.25">
      <c r="C519" s="784"/>
    </row>
    <row r="520" spans="3:3" x14ac:dyDescent="0.25">
      <c r="C520" s="784"/>
    </row>
    <row r="521" spans="3:3" x14ac:dyDescent="0.25">
      <c r="C521" s="784"/>
    </row>
    <row r="522" spans="3:3" x14ac:dyDescent="0.25">
      <c r="C522" s="784"/>
    </row>
    <row r="523" spans="3:3" x14ac:dyDescent="0.25">
      <c r="C523" s="784"/>
    </row>
    <row r="524" spans="3:3" x14ac:dyDescent="0.25">
      <c r="C524" s="784"/>
    </row>
    <row r="525" spans="3:3" x14ac:dyDescent="0.25">
      <c r="C525" s="784"/>
    </row>
    <row r="526" spans="3:3" x14ac:dyDescent="0.25">
      <c r="C526" s="784"/>
    </row>
    <row r="527" spans="3:3" x14ac:dyDescent="0.25">
      <c r="C527" s="784"/>
    </row>
    <row r="528" spans="3:3" x14ac:dyDescent="0.25">
      <c r="C528" s="784"/>
    </row>
    <row r="529" spans="3:3" x14ac:dyDescent="0.25">
      <c r="C529" s="784"/>
    </row>
    <row r="530" spans="3:3" x14ac:dyDescent="0.25">
      <c r="C530" s="784"/>
    </row>
    <row r="531" spans="3:3" x14ac:dyDescent="0.25">
      <c r="C531" s="784"/>
    </row>
    <row r="532" spans="3:3" x14ac:dyDescent="0.25">
      <c r="C532" s="784"/>
    </row>
    <row r="533" spans="3:3" x14ac:dyDescent="0.25">
      <c r="C533" s="784"/>
    </row>
    <row r="534" spans="3:3" x14ac:dyDescent="0.25">
      <c r="C534" s="784"/>
    </row>
    <row r="535" spans="3:3" x14ac:dyDescent="0.25">
      <c r="C535" s="784"/>
    </row>
    <row r="536" spans="3:3" x14ac:dyDescent="0.25">
      <c r="C536" s="784"/>
    </row>
    <row r="537" spans="3:3" x14ac:dyDescent="0.25">
      <c r="C537" s="784"/>
    </row>
    <row r="538" spans="3:3" x14ac:dyDescent="0.25">
      <c r="C538" s="784"/>
    </row>
    <row r="539" spans="3:3" x14ac:dyDescent="0.25">
      <c r="C539" s="784"/>
    </row>
    <row r="540" spans="3:3" x14ac:dyDescent="0.25">
      <c r="C540" s="784"/>
    </row>
    <row r="541" spans="3:3" x14ac:dyDescent="0.25">
      <c r="C541" s="784"/>
    </row>
    <row r="542" spans="3:3" x14ac:dyDescent="0.25">
      <c r="C542" s="784"/>
    </row>
    <row r="543" spans="3:3" x14ac:dyDescent="0.25">
      <c r="C543" s="784"/>
    </row>
    <row r="544" spans="3:3" x14ac:dyDescent="0.25">
      <c r="C544" s="784"/>
    </row>
    <row r="545" spans="3:3" x14ac:dyDescent="0.25">
      <c r="C545" s="784"/>
    </row>
    <row r="546" spans="3:3" x14ac:dyDescent="0.25">
      <c r="C546" s="784"/>
    </row>
    <row r="547" spans="3:3" x14ac:dyDescent="0.25">
      <c r="C547" s="784"/>
    </row>
    <row r="548" spans="3:3" x14ac:dyDescent="0.25">
      <c r="C548" s="784"/>
    </row>
    <row r="549" spans="3:3" x14ac:dyDescent="0.25">
      <c r="C549" s="784"/>
    </row>
    <row r="550" spans="3:3" x14ac:dyDescent="0.25">
      <c r="C550" s="784"/>
    </row>
    <row r="551" spans="3:3" x14ac:dyDescent="0.25">
      <c r="C551" s="784"/>
    </row>
    <row r="552" spans="3:3" x14ac:dyDescent="0.25">
      <c r="C552" s="784"/>
    </row>
    <row r="553" spans="3:3" x14ac:dyDescent="0.25">
      <c r="C553" s="784"/>
    </row>
    <row r="554" spans="3:3" x14ac:dyDescent="0.25">
      <c r="C554" s="784"/>
    </row>
    <row r="555" spans="3:3" x14ac:dyDescent="0.25">
      <c r="C555" s="784"/>
    </row>
    <row r="556" spans="3:3" x14ac:dyDescent="0.25">
      <c r="C556" s="784"/>
    </row>
    <row r="557" spans="3:3" x14ac:dyDescent="0.25">
      <c r="C557" s="784"/>
    </row>
    <row r="558" spans="3:3" x14ac:dyDescent="0.25">
      <c r="C558" s="784"/>
    </row>
    <row r="559" spans="3:3" x14ac:dyDescent="0.25">
      <c r="C559" s="784"/>
    </row>
    <row r="560" spans="3:3" x14ac:dyDescent="0.25">
      <c r="C560" s="784"/>
    </row>
    <row r="561" spans="3:3" x14ac:dyDescent="0.25">
      <c r="C561" s="784"/>
    </row>
    <row r="562" spans="3:3" x14ac:dyDescent="0.25">
      <c r="C562" s="784"/>
    </row>
    <row r="563" spans="3:3" x14ac:dyDescent="0.25">
      <c r="C563" s="784"/>
    </row>
    <row r="564" spans="3:3" x14ac:dyDescent="0.25">
      <c r="C564" s="784"/>
    </row>
    <row r="565" spans="3:3" x14ac:dyDescent="0.25">
      <c r="C565" s="784"/>
    </row>
    <row r="566" spans="3:3" x14ac:dyDescent="0.25">
      <c r="C566" s="784"/>
    </row>
    <row r="567" spans="3:3" x14ac:dyDescent="0.25">
      <c r="C567" s="784"/>
    </row>
    <row r="568" spans="3:3" x14ac:dyDescent="0.25">
      <c r="C568" s="784"/>
    </row>
    <row r="569" spans="3:3" x14ac:dyDescent="0.25">
      <c r="C569" s="784"/>
    </row>
    <row r="570" spans="3:3" x14ac:dyDescent="0.25">
      <c r="C570" s="784"/>
    </row>
    <row r="571" spans="3:3" x14ac:dyDescent="0.25">
      <c r="C571" s="784"/>
    </row>
    <row r="572" spans="3:3" x14ac:dyDescent="0.25">
      <c r="C572" s="784"/>
    </row>
    <row r="573" spans="3:3" x14ac:dyDescent="0.25">
      <c r="C573" s="784"/>
    </row>
    <row r="574" spans="3:3" x14ac:dyDescent="0.25">
      <c r="C574" s="784"/>
    </row>
    <row r="575" spans="3:3" x14ac:dyDescent="0.25">
      <c r="C575" s="784"/>
    </row>
    <row r="576" spans="3:3" x14ac:dyDescent="0.25">
      <c r="C576" s="784"/>
    </row>
    <row r="577" spans="3:3" x14ac:dyDescent="0.25">
      <c r="C577" s="784"/>
    </row>
    <row r="578" spans="3:3" x14ac:dyDescent="0.25">
      <c r="C578" s="784"/>
    </row>
    <row r="579" spans="3:3" x14ac:dyDescent="0.25">
      <c r="C579" s="784"/>
    </row>
    <row r="580" spans="3:3" x14ac:dyDescent="0.25">
      <c r="C580" s="784"/>
    </row>
    <row r="581" spans="3:3" x14ac:dyDescent="0.25">
      <c r="C581" s="784"/>
    </row>
    <row r="582" spans="3:3" x14ac:dyDescent="0.25">
      <c r="C582" s="784"/>
    </row>
    <row r="583" spans="3:3" x14ac:dyDescent="0.25">
      <c r="C583" s="784"/>
    </row>
    <row r="584" spans="3:3" x14ac:dyDescent="0.25">
      <c r="C584" s="784"/>
    </row>
    <row r="585" spans="3:3" x14ac:dyDescent="0.25">
      <c r="C585" s="784"/>
    </row>
    <row r="586" spans="3:3" x14ac:dyDescent="0.25">
      <c r="C586" s="784"/>
    </row>
    <row r="587" spans="3:3" x14ac:dyDescent="0.25">
      <c r="C587" s="784"/>
    </row>
    <row r="588" spans="3:3" x14ac:dyDescent="0.25">
      <c r="C588" s="784"/>
    </row>
    <row r="589" spans="3:3" x14ac:dyDescent="0.25">
      <c r="C589" s="784"/>
    </row>
    <row r="590" spans="3:3" x14ac:dyDescent="0.25">
      <c r="C590" s="784"/>
    </row>
    <row r="591" spans="3:3" x14ac:dyDescent="0.25">
      <c r="C591" s="784"/>
    </row>
    <row r="592" spans="3:3" x14ac:dyDescent="0.25">
      <c r="C592" s="784"/>
    </row>
    <row r="593" spans="3:3" x14ac:dyDescent="0.25">
      <c r="C593" s="784"/>
    </row>
    <row r="594" spans="3:3" x14ac:dyDescent="0.25">
      <c r="C594" s="784"/>
    </row>
    <row r="595" spans="3:3" x14ac:dyDescent="0.25">
      <c r="C595" s="784"/>
    </row>
    <row r="596" spans="3:3" x14ac:dyDescent="0.25">
      <c r="C596" s="784"/>
    </row>
    <row r="597" spans="3:3" x14ac:dyDescent="0.25">
      <c r="C597" s="784"/>
    </row>
    <row r="598" spans="3:3" x14ac:dyDescent="0.25">
      <c r="C598" s="784"/>
    </row>
    <row r="599" spans="3:3" x14ac:dyDescent="0.25">
      <c r="C599" s="784"/>
    </row>
    <row r="600" spans="3:3" x14ac:dyDescent="0.25">
      <c r="C600" s="784"/>
    </row>
    <row r="601" spans="3:3" x14ac:dyDescent="0.25">
      <c r="C601" s="784"/>
    </row>
    <row r="602" spans="3:3" x14ac:dyDescent="0.25">
      <c r="C602" s="784"/>
    </row>
    <row r="603" spans="3:3" x14ac:dyDescent="0.25">
      <c r="C603" s="784"/>
    </row>
    <row r="604" spans="3:3" x14ac:dyDescent="0.25">
      <c r="C604" s="784"/>
    </row>
    <row r="605" spans="3:3" x14ac:dyDescent="0.25">
      <c r="C605" s="784"/>
    </row>
    <row r="606" spans="3:3" x14ac:dyDescent="0.25">
      <c r="C606" s="784"/>
    </row>
    <row r="607" spans="3:3" x14ac:dyDescent="0.25">
      <c r="C607" s="784"/>
    </row>
    <row r="608" spans="3:3" x14ac:dyDescent="0.25">
      <c r="C608" s="784"/>
    </row>
    <row r="609" spans="3:3" x14ac:dyDescent="0.25">
      <c r="C609" s="784"/>
    </row>
    <row r="610" spans="3:3" x14ac:dyDescent="0.25">
      <c r="C610" s="784"/>
    </row>
    <row r="611" spans="3:3" x14ac:dyDescent="0.25">
      <c r="C611" s="784"/>
    </row>
    <row r="612" spans="3:3" x14ac:dyDescent="0.25">
      <c r="C612" s="784"/>
    </row>
    <row r="613" spans="3:3" x14ac:dyDescent="0.25">
      <c r="C613" s="784"/>
    </row>
    <row r="614" spans="3:3" x14ac:dyDescent="0.25">
      <c r="C614" s="784"/>
    </row>
    <row r="615" spans="3:3" x14ac:dyDescent="0.25">
      <c r="C615" s="784"/>
    </row>
    <row r="616" spans="3:3" x14ac:dyDescent="0.25">
      <c r="C616" s="784"/>
    </row>
    <row r="617" spans="3:3" x14ac:dyDescent="0.25">
      <c r="C617" s="784"/>
    </row>
    <row r="618" spans="3:3" x14ac:dyDescent="0.25">
      <c r="C618" s="784"/>
    </row>
    <row r="619" spans="3:3" x14ac:dyDescent="0.25">
      <c r="C619" s="784"/>
    </row>
    <row r="620" spans="3:3" x14ac:dyDescent="0.25">
      <c r="C620" s="784"/>
    </row>
    <row r="621" spans="3:3" x14ac:dyDescent="0.25">
      <c r="C621" s="784"/>
    </row>
    <row r="622" spans="3:3" x14ac:dyDescent="0.25">
      <c r="C622" s="784"/>
    </row>
    <row r="623" spans="3:3" x14ac:dyDescent="0.25">
      <c r="C623" s="784"/>
    </row>
    <row r="624" spans="3:3" x14ac:dyDescent="0.25">
      <c r="C624" s="784"/>
    </row>
    <row r="625" spans="3:3" x14ac:dyDescent="0.25">
      <c r="C625" s="784"/>
    </row>
    <row r="626" spans="3:3" x14ac:dyDescent="0.25">
      <c r="C626" s="784"/>
    </row>
    <row r="627" spans="3:3" x14ac:dyDescent="0.25">
      <c r="C627" s="784"/>
    </row>
    <row r="628" spans="3:3" x14ac:dyDescent="0.25">
      <c r="C628" s="784"/>
    </row>
    <row r="629" spans="3:3" x14ac:dyDescent="0.25">
      <c r="C629" s="784"/>
    </row>
    <row r="630" spans="3:3" x14ac:dyDescent="0.25">
      <c r="C630" s="784"/>
    </row>
    <row r="631" spans="3:3" x14ac:dyDescent="0.25">
      <c r="C631" s="784"/>
    </row>
    <row r="632" spans="3:3" x14ac:dyDescent="0.25">
      <c r="C632" s="784"/>
    </row>
    <row r="633" spans="3:3" x14ac:dyDescent="0.25">
      <c r="C633" s="784"/>
    </row>
    <row r="634" spans="3:3" x14ac:dyDescent="0.25">
      <c r="C634" s="784"/>
    </row>
    <row r="635" spans="3:3" x14ac:dyDescent="0.25">
      <c r="C635" s="784"/>
    </row>
    <row r="636" spans="3:3" x14ac:dyDescent="0.25">
      <c r="C636" s="784"/>
    </row>
    <row r="637" spans="3:3" x14ac:dyDescent="0.25">
      <c r="C637" s="784"/>
    </row>
    <row r="638" spans="3:3" x14ac:dyDescent="0.25">
      <c r="C638" s="784"/>
    </row>
    <row r="639" spans="3:3" x14ac:dyDescent="0.25">
      <c r="C639" s="784"/>
    </row>
    <row r="640" spans="3:3" x14ac:dyDescent="0.25">
      <c r="C640" s="784"/>
    </row>
    <row r="641" spans="3:3" x14ac:dyDescent="0.25">
      <c r="C641" s="784"/>
    </row>
    <row r="642" spans="3:3" x14ac:dyDescent="0.25">
      <c r="C642" s="784"/>
    </row>
    <row r="643" spans="3:3" x14ac:dyDescent="0.25">
      <c r="C643" s="784"/>
    </row>
    <row r="644" spans="3:3" x14ac:dyDescent="0.25">
      <c r="C644" s="784"/>
    </row>
    <row r="645" spans="3:3" x14ac:dyDescent="0.25">
      <c r="C645" s="784"/>
    </row>
    <row r="646" spans="3:3" x14ac:dyDescent="0.25">
      <c r="C646" s="784"/>
    </row>
    <row r="647" spans="3:3" x14ac:dyDescent="0.25">
      <c r="C647" s="784"/>
    </row>
    <row r="648" spans="3:3" x14ac:dyDescent="0.25">
      <c r="C648" s="784"/>
    </row>
    <row r="649" spans="3:3" x14ac:dyDescent="0.25">
      <c r="C649" s="784"/>
    </row>
    <row r="650" spans="3:3" x14ac:dyDescent="0.25">
      <c r="C650" s="784"/>
    </row>
    <row r="651" spans="3:3" x14ac:dyDescent="0.25">
      <c r="C651" s="784"/>
    </row>
    <row r="652" spans="3:3" x14ac:dyDescent="0.25">
      <c r="C652" s="784"/>
    </row>
    <row r="653" spans="3:3" x14ac:dyDescent="0.25">
      <c r="C653" s="784"/>
    </row>
    <row r="654" spans="3:3" x14ac:dyDescent="0.25">
      <c r="C654" s="784"/>
    </row>
    <row r="655" spans="3:3" x14ac:dyDescent="0.25">
      <c r="C655" s="784"/>
    </row>
    <row r="656" spans="3:3" x14ac:dyDescent="0.25">
      <c r="C656" s="784"/>
    </row>
    <row r="657" spans="3:3" x14ac:dyDescent="0.25">
      <c r="C657" s="784"/>
    </row>
    <row r="658" spans="3:3" x14ac:dyDescent="0.25">
      <c r="C658" s="784"/>
    </row>
    <row r="659" spans="3:3" x14ac:dyDescent="0.25">
      <c r="C659" s="784"/>
    </row>
    <row r="660" spans="3:3" x14ac:dyDescent="0.25">
      <c r="C660" s="784"/>
    </row>
    <row r="661" spans="3:3" x14ac:dyDescent="0.25">
      <c r="C661" s="784"/>
    </row>
    <row r="662" spans="3:3" x14ac:dyDescent="0.25">
      <c r="C662" s="784"/>
    </row>
    <row r="663" spans="3:3" x14ac:dyDescent="0.25">
      <c r="C663" s="784"/>
    </row>
    <row r="664" spans="3:3" x14ac:dyDescent="0.25">
      <c r="C664" s="784"/>
    </row>
    <row r="665" spans="3:3" x14ac:dyDescent="0.25">
      <c r="C665" s="784"/>
    </row>
    <row r="666" spans="3:3" x14ac:dyDescent="0.25">
      <c r="C666" s="784"/>
    </row>
    <row r="667" spans="3:3" x14ac:dyDescent="0.25">
      <c r="C667" s="784"/>
    </row>
    <row r="668" spans="3:3" x14ac:dyDescent="0.25">
      <c r="C668" s="784"/>
    </row>
    <row r="669" spans="3:3" x14ac:dyDescent="0.25">
      <c r="C669" s="784"/>
    </row>
    <row r="670" spans="3:3" x14ac:dyDescent="0.25">
      <c r="C670" s="784"/>
    </row>
    <row r="671" spans="3:3" x14ac:dyDescent="0.25">
      <c r="C671" s="784"/>
    </row>
    <row r="672" spans="3:3" x14ac:dyDescent="0.25">
      <c r="C672" s="784"/>
    </row>
    <row r="673" spans="3:3" x14ac:dyDescent="0.25">
      <c r="C673" s="784"/>
    </row>
    <row r="674" spans="3:3" x14ac:dyDescent="0.25">
      <c r="C674" s="784"/>
    </row>
    <row r="675" spans="3:3" x14ac:dyDescent="0.25">
      <c r="C675" s="784"/>
    </row>
    <row r="676" spans="3:3" x14ac:dyDescent="0.25">
      <c r="C676" s="784"/>
    </row>
    <row r="677" spans="3:3" x14ac:dyDescent="0.25">
      <c r="C677" s="784"/>
    </row>
    <row r="678" spans="3:3" x14ac:dyDescent="0.25">
      <c r="C678" s="784"/>
    </row>
    <row r="679" spans="3:3" x14ac:dyDescent="0.25">
      <c r="C679" s="784"/>
    </row>
    <row r="680" spans="3:3" x14ac:dyDescent="0.25">
      <c r="C680" s="784"/>
    </row>
    <row r="681" spans="3:3" x14ac:dyDescent="0.25">
      <c r="C681" s="784"/>
    </row>
    <row r="682" spans="3:3" x14ac:dyDescent="0.25">
      <c r="C682" s="784"/>
    </row>
    <row r="683" spans="3:3" x14ac:dyDescent="0.25">
      <c r="C683" s="784"/>
    </row>
    <row r="684" spans="3:3" x14ac:dyDescent="0.25">
      <c r="C684" s="784"/>
    </row>
    <row r="685" spans="3:3" x14ac:dyDescent="0.25">
      <c r="C685" s="784"/>
    </row>
    <row r="686" spans="3:3" x14ac:dyDescent="0.25">
      <c r="C686" s="784"/>
    </row>
    <row r="687" spans="3:3" x14ac:dyDescent="0.25">
      <c r="C687" s="784"/>
    </row>
    <row r="688" spans="3:3" x14ac:dyDescent="0.25">
      <c r="C688" s="784"/>
    </row>
    <row r="689" spans="3:3" x14ac:dyDescent="0.25">
      <c r="C689" s="784"/>
    </row>
    <row r="690" spans="3:3" x14ac:dyDescent="0.25">
      <c r="C690" s="784"/>
    </row>
    <row r="691" spans="3:3" x14ac:dyDescent="0.25">
      <c r="C691" s="784"/>
    </row>
    <row r="692" spans="3:3" x14ac:dyDescent="0.25">
      <c r="C692" s="784"/>
    </row>
    <row r="693" spans="3:3" x14ac:dyDescent="0.25">
      <c r="C693" s="784"/>
    </row>
    <row r="694" spans="3:3" x14ac:dyDescent="0.25">
      <c r="C694" s="784"/>
    </row>
    <row r="695" spans="3:3" x14ac:dyDescent="0.25">
      <c r="C695" s="784"/>
    </row>
    <row r="696" spans="3:3" x14ac:dyDescent="0.25">
      <c r="C696" s="784"/>
    </row>
    <row r="697" spans="3:3" x14ac:dyDescent="0.25">
      <c r="C697" s="784"/>
    </row>
    <row r="698" spans="3:3" x14ac:dyDescent="0.25">
      <c r="C698" s="784"/>
    </row>
    <row r="699" spans="3:3" x14ac:dyDescent="0.25">
      <c r="C699" s="784"/>
    </row>
    <row r="700" spans="3:3" x14ac:dyDescent="0.25">
      <c r="C700" s="784"/>
    </row>
    <row r="701" spans="3:3" x14ac:dyDescent="0.25">
      <c r="C701" s="784"/>
    </row>
    <row r="702" spans="3:3" x14ac:dyDescent="0.25">
      <c r="C702" s="784"/>
    </row>
    <row r="703" spans="3:3" x14ac:dyDescent="0.25">
      <c r="C703" s="784"/>
    </row>
    <row r="704" spans="3:3" x14ac:dyDescent="0.25">
      <c r="C704" s="784"/>
    </row>
    <row r="705" spans="3:3" x14ac:dyDescent="0.25">
      <c r="C705" s="784"/>
    </row>
    <row r="706" spans="3:3" x14ac:dyDescent="0.25">
      <c r="C706" s="784"/>
    </row>
    <row r="707" spans="3:3" x14ac:dyDescent="0.25">
      <c r="C707" s="784"/>
    </row>
    <row r="708" spans="3:3" x14ac:dyDescent="0.25">
      <c r="C708" s="784"/>
    </row>
    <row r="709" spans="3:3" x14ac:dyDescent="0.25">
      <c r="C709" s="784"/>
    </row>
    <row r="710" spans="3:3" x14ac:dyDescent="0.25">
      <c r="C710" s="784"/>
    </row>
    <row r="711" spans="3:3" x14ac:dyDescent="0.25">
      <c r="C711" s="784"/>
    </row>
    <row r="712" spans="3:3" x14ac:dyDescent="0.25">
      <c r="C712" s="784"/>
    </row>
    <row r="713" spans="3:3" x14ac:dyDescent="0.25">
      <c r="C713" s="784"/>
    </row>
    <row r="714" spans="3:3" x14ac:dyDescent="0.25">
      <c r="C714" s="784"/>
    </row>
    <row r="715" spans="3:3" x14ac:dyDescent="0.25">
      <c r="C715" s="784"/>
    </row>
    <row r="716" spans="3:3" x14ac:dyDescent="0.25">
      <c r="C716" s="784"/>
    </row>
    <row r="717" spans="3:3" x14ac:dyDescent="0.25">
      <c r="C717" s="784"/>
    </row>
    <row r="718" spans="3:3" x14ac:dyDescent="0.25">
      <c r="C718" s="784"/>
    </row>
    <row r="719" spans="3:3" x14ac:dyDescent="0.25">
      <c r="C719" s="784"/>
    </row>
    <row r="720" spans="3:3" x14ac:dyDescent="0.25">
      <c r="C720" s="784"/>
    </row>
    <row r="721" spans="3:3" x14ac:dyDescent="0.25">
      <c r="C721" s="784"/>
    </row>
    <row r="722" spans="3:3" x14ac:dyDescent="0.25">
      <c r="C722" s="784"/>
    </row>
    <row r="723" spans="3:3" x14ac:dyDescent="0.25">
      <c r="C723" s="784"/>
    </row>
    <row r="724" spans="3:3" x14ac:dyDescent="0.25">
      <c r="C724" s="784"/>
    </row>
    <row r="725" spans="3:3" x14ac:dyDescent="0.25">
      <c r="C725" s="784"/>
    </row>
    <row r="726" spans="3:3" x14ac:dyDescent="0.25">
      <c r="C726" s="784"/>
    </row>
    <row r="727" spans="3:3" x14ac:dyDescent="0.25">
      <c r="C727" s="784"/>
    </row>
    <row r="728" spans="3:3" x14ac:dyDescent="0.25">
      <c r="C728" s="784"/>
    </row>
    <row r="729" spans="3:3" x14ac:dyDescent="0.25">
      <c r="C729" s="784"/>
    </row>
    <row r="730" spans="3:3" x14ac:dyDescent="0.25">
      <c r="C730" s="784"/>
    </row>
    <row r="731" spans="3:3" x14ac:dyDescent="0.25">
      <c r="C731" s="784"/>
    </row>
    <row r="732" spans="3:3" x14ac:dyDescent="0.25">
      <c r="C732" s="784"/>
    </row>
    <row r="733" spans="3:3" x14ac:dyDescent="0.25">
      <c r="C733" s="784"/>
    </row>
    <row r="734" spans="3:3" x14ac:dyDescent="0.25">
      <c r="C734" s="784"/>
    </row>
    <row r="735" spans="3:3" x14ac:dyDescent="0.25">
      <c r="C735" s="784"/>
    </row>
    <row r="736" spans="3:3" x14ac:dyDescent="0.25">
      <c r="C736" s="784"/>
    </row>
    <row r="737" spans="3:3" x14ac:dyDescent="0.25">
      <c r="C737" s="784"/>
    </row>
    <row r="738" spans="3:3" x14ac:dyDescent="0.25">
      <c r="C738" s="784"/>
    </row>
    <row r="739" spans="3:3" x14ac:dyDescent="0.25">
      <c r="C739" s="784"/>
    </row>
    <row r="740" spans="3:3" x14ac:dyDescent="0.25">
      <c r="C740" s="784"/>
    </row>
    <row r="741" spans="3:3" x14ac:dyDescent="0.25">
      <c r="C741" s="784"/>
    </row>
    <row r="742" spans="3:3" x14ac:dyDescent="0.25">
      <c r="C742" s="784"/>
    </row>
    <row r="743" spans="3:3" x14ac:dyDescent="0.25">
      <c r="C743" s="784"/>
    </row>
    <row r="744" spans="3:3" x14ac:dyDescent="0.25">
      <c r="C744" s="784"/>
    </row>
    <row r="745" spans="3:3" x14ac:dyDescent="0.25">
      <c r="C745" s="784"/>
    </row>
    <row r="746" spans="3:3" x14ac:dyDescent="0.25">
      <c r="C746" s="784"/>
    </row>
    <row r="747" spans="3:3" x14ac:dyDescent="0.25">
      <c r="C747" s="784"/>
    </row>
    <row r="748" spans="3:3" x14ac:dyDescent="0.25">
      <c r="C748" s="784"/>
    </row>
    <row r="749" spans="3:3" x14ac:dyDescent="0.25">
      <c r="C749" s="784"/>
    </row>
    <row r="750" spans="3:3" x14ac:dyDescent="0.25">
      <c r="C750" s="784"/>
    </row>
    <row r="751" spans="3:3" x14ac:dyDescent="0.25">
      <c r="C751" s="784"/>
    </row>
    <row r="752" spans="3:3" x14ac:dyDescent="0.25">
      <c r="C752" s="784"/>
    </row>
    <row r="753" spans="3:3" x14ac:dyDescent="0.25">
      <c r="C753" s="784"/>
    </row>
    <row r="754" spans="3:3" x14ac:dyDescent="0.25">
      <c r="C754" s="784"/>
    </row>
    <row r="755" spans="3:3" x14ac:dyDescent="0.25">
      <c r="C755" s="784"/>
    </row>
    <row r="756" spans="3:3" x14ac:dyDescent="0.25">
      <c r="C756" s="784"/>
    </row>
    <row r="757" spans="3:3" x14ac:dyDescent="0.25">
      <c r="C757" s="784"/>
    </row>
    <row r="758" spans="3:3" x14ac:dyDescent="0.25">
      <c r="C758" s="784"/>
    </row>
    <row r="759" spans="3:3" x14ac:dyDescent="0.25">
      <c r="C759" s="784"/>
    </row>
    <row r="760" spans="3:3" x14ac:dyDescent="0.25">
      <c r="C760" s="784"/>
    </row>
    <row r="761" spans="3:3" x14ac:dyDescent="0.25">
      <c r="C761" s="784"/>
    </row>
    <row r="762" spans="3:3" x14ac:dyDescent="0.25">
      <c r="C762" s="784"/>
    </row>
    <row r="763" spans="3:3" x14ac:dyDescent="0.25">
      <c r="C763" s="784"/>
    </row>
    <row r="764" spans="3:3" x14ac:dyDescent="0.25">
      <c r="C764" s="784"/>
    </row>
    <row r="765" spans="3:3" x14ac:dyDescent="0.25">
      <c r="C765" s="784"/>
    </row>
    <row r="766" spans="3:3" x14ac:dyDescent="0.25">
      <c r="C766" s="784"/>
    </row>
    <row r="767" spans="3:3" x14ac:dyDescent="0.25">
      <c r="C767" s="784"/>
    </row>
    <row r="768" spans="3:3" x14ac:dyDescent="0.25">
      <c r="C768" s="784"/>
    </row>
    <row r="769" spans="3:3" x14ac:dyDescent="0.25">
      <c r="C769" s="784"/>
    </row>
    <row r="770" spans="3:3" x14ac:dyDescent="0.25">
      <c r="C770" s="784"/>
    </row>
    <row r="771" spans="3:3" x14ac:dyDescent="0.25">
      <c r="C771" s="784"/>
    </row>
    <row r="772" spans="3:3" x14ac:dyDescent="0.25">
      <c r="C772" s="784"/>
    </row>
    <row r="773" spans="3:3" x14ac:dyDescent="0.25">
      <c r="C773" s="784"/>
    </row>
    <row r="774" spans="3:3" x14ac:dyDescent="0.25">
      <c r="C774" s="784"/>
    </row>
    <row r="775" spans="3:3" x14ac:dyDescent="0.25">
      <c r="C775" s="784"/>
    </row>
    <row r="776" spans="3:3" x14ac:dyDescent="0.25">
      <c r="C776" s="784"/>
    </row>
    <row r="777" spans="3:3" x14ac:dyDescent="0.25">
      <c r="C777" s="784"/>
    </row>
    <row r="778" spans="3:3" x14ac:dyDescent="0.25">
      <c r="C778" s="784"/>
    </row>
    <row r="779" spans="3:3" x14ac:dyDescent="0.25">
      <c r="C779" s="784"/>
    </row>
    <row r="780" spans="3:3" x14ac:dyDescent="0.25">
      <c r="C780" s="784"/>
    </row>
    <row r="781" spans="3:3" x14ac:dyDescent="0.25">
      <c r="C781" s="784"/>
    </row>
    <row r="782" spans="3:3" x14ac:dyDescent="0.25">
      <c r="C782" s="784"/>
    </row>
    <row r="783" spans="3:3" x14ac:dyDescent="0.25">
      <c r="C783" s="784"/>
    </row>
    <row r="784" spans="3:3" x14ac:dyDescent="0.25">
      <c r="C784" s="784"/>
    </row>
    <row r="785" spans="3:3" x14ac:dyDescent="0.25">
      <c r="C785" s="784"/>
    </row>
    <row r="786" spans="3:3" x14ac:dyDescent="0.25">
      <c r="C786" s="784"/>
    </row>
    <row r="787" spans="3:3" x14ac:dyDescent="0.25">
      <c r="C787" s="784"/>
    </row>
    <row r="788" spans="3:3" x14ac:dyDescent="0.25">
      <c r="C788" s="784"/>
    </row>
    <row r="789" spans="3:3" x14ac:dyDescent="0.25">
      <c r="C789" s="784"/>
    </row>
    <row r="790" spans="3:3" x14ac:dyDescent="0.25">
      <c r="C790" s="784"/>
    </row>
    <row r="791" spans="3:3" x14ac:dyDescent="0.25">
      <c r="C791" s="784"/>
    </row>
    <row r="792" spans="3:3" x14ac:dyDescent="0.25">
      <c r="C792" s="784"/>
    </row>
    <row r="793" spans="3:3" x14ac:dyDescent="0.25">
      <c r="C793" s="784"/>
    </row>
    <row r="794" spans="3:3" x14ac:dyDescent="0.25">
      <c r="C794" s="784"/>
    </row>
    <row r="795" spans="3:3" x14ac:dyDescent="0.25">
      <c r="C795" s="784"/>
    </row>
    <row r="796" spans="3:3" x14ac:dyDescent="0.25">
      <c r="C796" s="784"/>
    </row>
    <row r="797" spans="3:3" x14ac:dyDescent="0.25">
      <c r="C797" s="784"/>
    </row>
    <row r="798" spans="3:3" x14ac:dyDescent="0.25">
      <c r="C798" s="784"/>
    </row>
    <row r="799" spans="3:3" x14ac:dyDescent="0.25">
      <c r="C799" s="784"/>
    </row>
    <row r="800" spans="3:3" x14ac:dyDescent="0.25">
      <c r="C800" s="784"/>
    </row>
    <row r="801" spans="3:3" x14ac:dyDescent="0.25">
      <c r="C801" s="784"/>
    </row>
    <row r="802" spans="3:3" x14ac:dyDescent="0.25">
      <c r="C802" s="784"/>
    </row>
    <row r="803" spans="3:3" x14ac:dyDescent="0.25">
      <c r="C803" s="784"/>
    </row>
    <row r="804" spans="3:3" x14ac:dyDescent="0.25">
      <c r="C804" s="784"/>
    </row>
    <row r="805" spans="3:3" x14ac:dyDescent="0.25">
      <c r="C805" s="784"/>
    </row>
    <row r="806" spans="3:3" x14ac:dyDescent="0.25">
      <c r="C806" s="784"/>
    </row>
    <row r="807" spans="3:3" x14ac:dyDescent="0.25">
      <c r="C807" s="784"/>
    </row>
    <row r="808" spans="3:3" x14ac:dyDescent="0.25">
      <c r="C808" s="784"/>
    </row>
    <row r="809" spans="3:3" x14ac:dyDescent="0.25">
      <c r="C809" s="784"/>
    </row>
    <row r="810" spans="3:3" x14ac:dyDescent="0.25">
      <c r="C810" s="784"/>
    </row>
    <row r="811" spans="3:3" x14ac:dyDescent="0.25">
      <c r="C811" s="784"/>
    </row>
    <row r="812" spans="3:3" x14ac:dyDescent="0.25">
      <c r="C812" s="784"/>
    </row>
    <row r="813" spans="3:3" x14ac:dyDescent="0.25">
      <c r="C813" s="784"/>
    </row>
    <row r="814" spans="3:3" x14ac:dyDescent="0.25">
      <c r="C814" s="784"/>
    </row>
    <row r="815" spans="3:3" x14ac:dyDescent="0.25">
      <c r="C815" s="784"/>
    </row>
    <row r="816" spans="3:3" x14ac:dyDescent="0.25">
      <c r="C816" s="784"/>
    </row>
    <row r="817" spans="3:3" x14ac:dyDescent="0.25">
      <c r="C817" s="784"/>
    </row>
    <row r="818" spans="3:3" x14ac:dyDescent="0.25">
      <c r="C818" s="784"/>
    </row>
    <row r="819" spans="3:3" x14ac:dyDescent="0.25">
      <c r="C819" s="784"/>
    </row>
    <row r="820" spans="3:3" x14ac:dyDescent="0.25">
      <c r="C820" s="784"/>
    </row>
    <row r="821" spans="3:3" x14ac:dyDescent="0.25">
      <c r="C821" s="784"/>
    </row>
    <row r="822" spans="3:3" x14ac:dyDescent="0.25">
      <c r="C822" s="784"/>
    </row>
    <row r="823" spans="3:3" x14ac:dyDescent="0.25">
      <c r="C823" s="784"/>
    </row>
    <row r="824" spans="3:3" x14ac:dyDescent="0.25">
      <c r="C824" s="784"/>
    </row>
    <row r="825" spans="3:3" x14ac:dyDescent="0.25">
      <c r="C825" s="784"/>
    </row>
    <row r="826" spans="3:3" x14ac:dyDescent="0.25">
      <c r="C826" s="784"/>
    </row>
    <row r="827" spans="3:3" x14ac:dyDescent="0.25">
      <c r="C827" s="784"/>
    </row>
    <row r="828" spans="3:3" x14ac:dyDescent="0.25">
      <c r="C828" s="784"/>
    </row>
    <row r="829" spans="3:3" x14ac:dyDescent="0.25">
      <c r="C829" s="784"/>
    </row>
    <row r="830" spans="3:3" x14ac:dyDescent="0.25">
      <c r="C830" s="784"/>
    </row>
    <row r="831" spans="3:3" x14ac:dyDescent="0.25">
      <c r="C831" s="784"/>
    </row>
    <row r="832" spans="3:3" x14ac:dyDescent="0.25">
      <c r="C832" s="784"/>
    </row>
    <row r="833" spans="3:3" x14ac:dyDescent="0.25">
      <c r="C833" s="784"/>
    </row>
    <row r="834" spans="3:3" x14ac:dyDescent="0.25">
      <c r="C834" s="784"/>
    </row>
    <row r="835" spans="3:3" x14ac:dyDescent="0.25">
      <c r="C835" s="784"/>
    </row>
    <row r="836" spans="3:3" x14ac:dyDescent="0.25">
      <c r="C836" s="784"/>
    </row>
    <row r="837" spans="3:3" x14ac:dyDescent="0.25">
      <c r="C837" s="784"/>
    </row>
    <row r="838" spans="3:3" x14ac:dyDescent="0.25">
      <c r="C838" s="784"/>
    </row>
    <row r="839" spans="3:3" x14ac:dyDescent="0.25">
      <c r="C839" s="784"/>
    </row>
    <row r="840" spans="3:3" x14ac:dyDescent="0.25">
      <c r="C840" s="784"/>
    </row>
    <row r="841" spans="3:3" x14ac:dyDescent="0.25">
      <c r="C841" s="784"/>
    </row>
    <row r="842" spans="3:3" x14ac:dyDescent="0.25">
      <c r="C842" s="784"/>
    </row>
    <row r="843" spans="3:3" x14ac:dyDescent="0.25">
      <c r="C843" s="784"/>
    </row>
    <row r="844" spans="3:3" x14ac:dyDescent="0.25">
      <c r="C844" s="784"/>
    </row>
    <row r="845" spans="3:3" x14ac:dyDescent="0.25">
      <c r="C845" s="784"/>
    </row>
    <row r="846" spans="3:3" x14ac:dyDescent="0.25">
      <c r="C846" s="784"/>
    </row>
    <row r="847" spans="3:3" x14ac:dyDescent="0.25">
      <c r="C847" s="784"/>
    </row>
    <row r="848" spans="3:3" x14ac:dyDescent="0.25">
      <c r="C848" s="784"/>
    </row>
    <row r="849" spans="3:3" x14ac:dyDescent="0.25">
      <c r="C849" s="784"/>
    </row>
    <row r="850" spans="3:3" x14ac:dyDescent="0.25">
      <c r="C850" s="784"/>
    </row>
    <row r="851" spans="3:3" x14ac:dyDescent="0.25">
      <c r="C851" s="784"/>
    </row>
    <row r="852" spans="3:3" x14ac:dyDescent="0.25">
      <c r="C852" s="784"/>
    </row>
    <row r="853" spans="3:3" x14ac:dyDescent="0.25">
      <c r="C853" s="784"/>
    </row>
    <row r="854" spans="3:3" x14ac:dyDescent="0.25">
      <c r="C854" s="784"/>
    </row>
    <row r="855" spans="3:3" x14ac:dyDescent="0.25">
      <c r="C855" s="784"/>
    </row>
    <row r="856" spans="3:3" x14ac:dyDescent="0.25">
      <c r="C856" s="784"/>
    </row>
    <row r="857" spans="3:3" x14ac:dyDescent="0.25">
      <c r="C857" s="784"/>
    </row>
    <row r="858" spans="3:3" x14ac:dyDescent="0.25">
      <c r="C858" s="784"/>
    </row>
    <row r="859" spans="3:3" x14ac:dyDescent="0.25">
      <c r="C859" s="784"/>
    </row>
    <row r="860" spans="3:3" x14ac:dyDescent="0.25">
      <c r="C860" s="784"/>
    </row>
    <row r="861" spans="3:3" x14ac:dyDescent="0.25">
      <c r="C861" s="784"/>
    </row>
    <row r="862" spans="3:3" x14ac:dyDescent="0.25">
      <c r="C862" s="784"/>
    </row>
    <row r="863" spans="3:3" x14ac:dyDescent="0.25">
      <c r="C863" s="784"/>
    </row>
    <row r="864" spans="3:3" x14ac:dyDescent="0.25">
      <c r="C864" s="784"/>
    </row>
    <row r="865" spans="3:3" x14ac:dyDescent="0.25">
      <c r="C865" s="784"/>
    </row>
    <row r="866" spans="3:3" x14ac:dyDescent="0.25">
      <c r="C866" s="784"/>
    </row>
    <row r="867" spans="3:3" x14ac:dyDescent="0.25">
      <c r="C867" s="784"/>
    </row>
    <row r="868" spans="3:3" x14ac:dyDescent="0.25">
      <c r="C868" s="784"/>
    </row>
    <row r="869" spans="3:3" x14ac:dyDescent="0.25">
      <c r="C869" s="784"/>
    </row>
    <row r="870" spans="3:3" x14ac:dyDescent="0.25">
      <c r="C870" s="784"/>
    </row>
    <row r="871" spans="3:3" x14ac:dyDescent="0.25">
      <c r="C871" s="784"/>
    </row>
    <row r="872" spans="3:3" x14ac:dyDescent="0.25">
      <c r="C872" s="784"/>
    </row>
    <row r="873" spans="3:3" x14ac:dyDescent="0.25">
      <c r="C873" s="784"/>
    </row>
    <row r="874" spans="3:3" x14ac:dyDescent="0.25">
      <c r="C874" s="784"/>
    </row>
    <row r="875" spans="3:3" x14ac:dyDescent="0.25">
      <c r="C875" s="784"/>
    </row>
    <row r="876" spans="3:3" x14ac:dyDescent="0.25">
      <c r="C876" s="784"/>
    </row>
    <row r="877" spans="3:3" x14ac:dyDescent="0.25">
      <c r="C877" s="784"/>
    </row>
    <row r="878" spans="3:3" x14ac:dyDescent="0.25">
      <c r="C878" s="784"/>
    </row>
    <row r="879" spans="3:3" x14ac:dyDescent="0.25">
      <c r="C879" s="784"/>
    </row>
    <row r="880" spans="3:3" x14ac:dyDescent="0.25">
      <c r="C880" s="784"/>
    </row>
    <row r="881" spans="3:3" x14ac:dyDescent="0.25">
      <c r="C881" s="784"/>
    </row>
    <row r="882" spans="3:3" x14ac:dyDescent="0.25">
      <c r="C882" s="784"/>
    </row>
    <row r="883" spans="3:3" x14ac:dyDescent="0.25">
      <c r="C883" s="784"/>
    </row>
    <row r="884" spans="3:3" x14ac:dyDescent="0.25">
      <c r="C884" s="784"/>
    </row>
    <row r="885" spans="3:3" x14ac:dyDescent="0.25">
      <c r="C885" s="784"/>
    </row>
    <row r="886" spans="3:3" x14ac:dyDescent="0.25">
      <c r="C886" s="784"/>
    </row>
    <row r="887" spans="3:3" x14ac:dyDescent="0.25">
      <c r="C887" s="784"/>
    </row>
    <row r="888" spans="3:3" x14ac:dyDescent="0.25">
      <c r="C888" s="784"/>
    </row>
    <row r="889" spans="3:3" x14ac:dyDescent="0.25">
      <c r="C889" s="784"/>
    </row>
    <row r="890" spans="3:3" x14ac:dyDescent="0.25">
      <c r="C890" s="784"/>
    </row>
    <row r="891" spans="3:3" x14ac:dyDescent="0.25">
      <c r="C891" s="784"/>
    </row>
    <row r="892" spans="3:3" x14ac:dyDescent="0.25">
      <c r="C892" s="784"/>
    </row>
    <row r="893" spans="3:3" x14ac:dyDescent="0.25">
      <c r="C893" s="784"/>
    </row>
    <row r="894" spans="3:3" x14ac:dyDescent="0.25">
      <c r="C894" s="784"/>
    </row>
    <row r="895" spans="3:3" x14ac:dyDescent="0.25">
      <c r="C895" s="784"/>
    </row>
    <row r="896" spans="3:3" x14ac:dyDescent="0.25">
      <c r="C896" s="784"/>
    </row>
    <row r="897" spans="3:3" x14ac:dyDescent="0.25">
      <c r="C897" s="784"/>
    </row>
    <row r="898" spans="3:3" x14ac:dyDescent="0.25">
      <c r="C898" s="784"/>
    </row>
    <row r="899" spans="3:3" x14ac:dyDescent="0.25">
      <c r="C899" s="784"/>
    </row>
    <row r="900" spans="3:3" x14ac:dyDescent="0.25">
      <c r="C900" s="784"/>
    </row>
    <row r="901" spans="3:3" x14ac:dyDescent="0.25">
      <c r="C901" s="784"/>
    </row>
    <row r="902" spans="3:3" x14ac:dyDescent="0.25">
      <c r="C902" s="784"/>
    </row>
    <row r="903" spans="3:3" x14ac:dyDescent="0.25">
      <c r="C903" s="784"/>
    </row>
    <row r="904" spans="3:3" x14ac:dyDescent="0.25">
      <c r="C904" s="784"/>
    </row>
    <row r="905" spans="3:3" x14ac:dyDescent="0.25">
      <c r="C905" s="784"/>
    </row>
    <row r="906" spans="3:3" x14ac:dyDescent="0.25">
      <c r="C906" s="784"/>
    </row>
    <row r="907" spans="3:3" x14ac:dyDescent="0.25">
      <c r="C907" s="784"/>
    </row>
    <row r="908" spans="3:3" x14ac:dyDescent="0.25">
      <c r="C908" s="784"/>
    </row>
    <row r="909" spans="3:3" x14ac:dyDescent="0.25">
      <c r="C909" s="784"/>
    </row>
    <row r="910" spans="3:3" x14ac:dyDescent="0.25">
      <c r="C910" s="784"/>
    </row>
    <row r="911" spans="3:3" x14ac:dyDescent="0.25">
      <c r="C911" s="784"/>
    </row>
    <row r="912" spans="3:3" x14ac:dyDescent="0.25">
      <c r="C912" s="784"/>
    </row>
    <row r="913" spans="3:3" x14ac:dyDescent="0.25">
      <c r="C913" s="784"/>
    </row>
    <row r="914" spans="3:3" x14ac:dyDescent="0.25">
      <c r="C914" s="784"/>
    </row>
    <row r="915" spans="3:3" x14ac:dyDescent="0.25">
      <c r="C915" s="784"/>
    </row>
    <row r="916" spans="3:3" x14ac:dyDescent="0.25">
      <c r="C916" s="784"/>
    </row>
    <row r="917" spans="3:3" x14ac:dyDescent="0.25">
      <c r="C917" s="784"/>
    </row>
    <row r="918" spans="3:3" x14ac:dyDescent="0.25">
      <c r="C918" s="784"/>
    </row>
    <row r="919" spans="3:3" x14ac:dyDescent="0.25">
      <c r="C919" s="784"/>
    </row>
    <row r="920" spans="3:3" x14ac:dyDescent="0.25">
      <c r="C920" s="784"/>
    </row>
    <row r="921" spans="3:3" x14ac:dyDescent="0.25">
      <c r="C921" s="784"/>
    </row>
    <row r="922" spans="3:3" x14ac:dyDescent="0.25">
      <c r="C922" s="784"/>
    </row>
    <row r="923" spans="3:3" x14ac:dyDescent="0.25">
      <c r="C923" s="784"/>
    </row>
    <row r="924" spans="3:3" x14ac:dyDescent="0.25">
      <c r="C924" s="784"/>
    </row>
    <row r="925" spans="3:3" x14ac:dyDescent="0.25">
      <c r="C925" s="784"/>
    </row>
    <row r="926" spans="3:3" x14ac:dyDescent="0.25">
      <c r="C926" s="784"/>
    </row>
    <row r="927" spans="3:3" x14ac:dyDescent="0.25">
      <c r="C927" s="784"/>
    </row>
    <row r="928" spans="3:3" x14ac:dyDescent="0.25">
      <c r="C928" s="784"/>
    </row>
    <row r="929" spans="3:3" x14ac:dyDescent="0.25">
      <c r="C929" s="784"/>
    </row>
    <row r="930" spans="3:3" x14ac:dyDescent="0.25">
      <c r="C930" s="784"/>
    </row>
    <row r="931" spans="3:3" x14ac:dyDescent="0.25">
      <c r="C931" s="784"/>
    </row>
    <row r="932" spans="3:3" x14ac:dyDescent="0.25">
      <c r="C932" s="784"/>
    </row>
    <row r="933" spans="3:3" x14ac:dyDescent="0.25">
      <c r="C933" s="784"/>
    </row>
    <row r="934" spans="3:3" x14ac:dyDescent="0.25">
      <c r="C934" s="784"/>
    </row>
    <row r="935" spans="3:3" x14ac:dyDescent="0.25">
      <c r="C935" s="784"/>
    </row>
    <row r="936" spans="3:3" x14ac:dyDescent="0.25">
      <c r="C936" s="784"/>
    </row>
    <row r="937" spans="3:3" x14ac:dyDescent="0.25">
      <c r="C937" s="784"/>
    </row>
    <row r="938" spans="3:3" x14ac:dyDescent="0.25">
      <c r="C938" s="784"/>
    </row>
    <row r="939" spans="3:3" x14ac:dyDescent="0.25">
      <c r="C939" s="784"/>
    </row>
    <row r="940" spans="3:3" x14ac:dyDescent="0.25">
      <c r="C940" s="784"/>
    </row>
    <row r="941" spans="3:3" x14ac:dyDescent="0.25">
      <c r="C941" s="784"/>
    </row>
    <row r="942" spans="3:3" x14ac:dyDescent="0.25">
      <c r="C942" s="784"/>
    </row>
    <row r="943" spans="3:3" x14ac:dyDescent="0.25">
      <c r="C943" s="784"/>
    </row>
    <row r="944" spans="3:3" x14ac:dyDescent="0.25">
      <c r="C944" s="784"/>
    </row>
    <row r="945" spans="3:3" x14ac:dyDescent="0.25">
      <c r="C945" s="784"/>
    </row>
    <row r="946" spans="3:3" x14ac:dyDescent="0.25">
      <c r="C946" s="784"/>
    </row>
    <row r="947" spans="3:3" x14ac:dyDescent="0.25">
      <c r="C947" s="784"/>
    </row>
    <row r="948" spans="3:3" x14ac:dyDescent="0.25">
      <c r="C948" s="784"/>
    </row>
    <row r="949" spans="3:3" x14ac:dyDescent="0.25">
      <c r="C949" s="784"/>
    </row>
    <row r="950" spans="3:3" x14ac:dyDescent="0.25">
      <c r="C950" s="784"/>
    </row>
    <row r="951" spans="3:3" x14ac:dyDescent="0.25">
      <c r="C951" s="784"/>
    </row>
    <row r="952" spans="3:3" x14ac:dyDescent="0.25">
      <c r="C952" s="784"/>
    </row>
    <row r="953" spans="3:3" x14ac:dyDescent="0.25">
      <c r="C953" s="784"/>
    </row>
    <row r="954" spans="3:3" x14ac:dyDescent="0.25">
      <c r="C954" s="784"/>
    </row>
    <row r="955" spans="3:3" x14ac:dyDescent="0.25">
      <c r="C955" s="784"/>
    </row>
    <row r="956" spans="3:3" x14ac:dyDescent="0.25">
      <c r="C956" s="784"/>
    </row>
    <row r="957" spans="3:3" x14ac:dyDescent="0.25">
      <c r="C957" s="784"/>
    </row>
    <row r="958" spans="3:3" x14ac:dyDescent="0.25">
      <c r="C958" s="784"/>
    </row>
    <row r="959" spans="3:3" x14ac:dyDescent="0.25">
      <c r="C959" s="784"/>
    </row>
    <row r="960" spans="3:3" x14ac:dyDescent="0.25">
      <c r="C960" s="784"/>
    </row>
    <row r="961" spans="3:3" x14ac:dyDescent="0.25">
      <c r="C961" s="784"/>
    </row>
    <row r="962" spans="3:3" x14ac:dyDescent="0.25">
      <c r="C962" s="784"/>
    </row>
    <row r="963" spans="3:3" x14ac:dyDescent="0.25">
      <c r="C963" s="784"/>
    </row>
    <row r="964" spans="3:3" x14ac:dyDescent="0.25">
      <c r="C964" s="784"/>
    </row>
    <row r="965" spans="3:3" x14ac:dyDescent="0.25">
      <c r="C965" s="784"/>
    </row>
    <row r="966" spans="3:3" x14ac:dyDescent="0.25">
      <c r="C966" s="784"/>
    </row>
    <row r="967" spans="3:3" x14ac:dyDescent="0.25">
      <c r="C967" s="784"/>
    </row>
    <row r="968" spans="3:3" x14ac:dyDescent="0.25">
      <c r="C968" s="784"/>
    </row>
    <row r="969" spans="3:3" x14ac:dyDescent="0.25">
      <c r="C969" s="784"/>
    </row>
    <row r="970" spans="3:3" x14ac:dyDescent="0.25">
      <c r="C970" s="784"/>
    </row>
    <row r="971" spans="3:3" x14ac:dyDescent="0.25">
      <c r="C971" s="784"/>
    </row>
    <row r="972" spans="3:3" x14ac:dyDescent="0.25">
      <c r="C972" s="784"/>
    </row>
    <row r="973" spans="3:3" x14ac:dyDescent="0.25">
      <c r="C973" s="784"/>
    </row>
    <row r="974" spans="3:3" x14ac:dyDescent="0.25">
      <c r="C974" s="784"/>
    </row>
    <row r="975" spans="3:3" x14ac:dyDescent="0.25">
      <c r="C975" s="784"/>
    </row>
    <row r="976" spans="3:3" x14ac:dyDescent="0.25">
      <c r="C976" s="784"/>
    </row>
    <row r="977" spans="3:3" x14ac:dyDescent="0.25">
      <c r="C977" s="784"/>
    </row>
    <row r="978" spans="3:3" x14ac:dyDescent="0.25">
      <c r="C978" s="784"/>
    </row>
    <row r="979" spans="3:3" x14ac:dyDescent="0.25">
      <c r="C979" s="784"/>
    </row>
    <row r="980" spans="3:3" x14ac:dyDescent="0.25">
      <c r="C980" s="784"/>
    </row>
    <row r="981" spans="3:3" x14ac:dyDescent="0.25">
      <c r="C981" s="784"/>
    </row>
    <row r="982" spans="3:3" x14ac:dyDescent="0.25">
      <c r="C982" s="784"/>
    </row>
    <row r="983" spans="3:3" x14ac:dyDescent="0.25">
      <c r="C983" s="784"/>
    </row>
    <row r="984" spans="3:3" x14ac:dyDescent="0.25">
      <c r="C984" s="784"/>
    </row>
    <row r="985" spans="3:3" x14ac:dyDescent="0.25">
      <c r="C985" s="784"/>
    </row>
    <row r="986" spans="3:3" x14ac:dyDescent="0.25">
      <c r="C986" s="784"/>
    </row>
    <row r="987" spans="3:3" x14ac:dyDescent="0.25">
      <c r="C987" s="784"/>
    </row>
    <row r="988" spans="3:3" x14ac:dyDescent="0.25">
      <c r="C988" s="784"/>
    </row>
    <row r="989" spans="3:3" x14ac:dyDescent="0.25">
      <c r="C989" s="784"/>
    </row>
    <row r="990" spans="3:3" x14ac:dyDescent="0.25">
      <c r="C990" s="784"/>
    </row>
    <row r="991" spans="3:3" x14ac:dyDescent="0.25">
      <c r="C991" s="784"/>
    </row>
    <row r="992" spans="3:3" x14ac:dyDescent="0.25">
      <c r="C992" s="784"/>
    </row>
    <row r="993" spans="3:3" x14ac:dyDescent="0.25">
      <c r="C993" s="784"/>
    </row>
    <row r="994" spans="3:3" x14ac:dyDescent="0.25">
      <c r="C994" s="784"/>
    </row>
    <row r="995" spans="3:3" x14ac:dyDescent="0.25">
      <c r="C995" s="784"/>
    </row>
    <row r="996" spans="3:3" x14ac:dyDescent="0.25">
      <c r="C996" s="784"/>
    </row>
    <row r="997" spans="3:3" x14ac:dyDescent="0.25">
      <c r="C997" s="784"/>
    </row>
    <row r="998" spans="3:3" x14ac:dyDescent="0.25">
      <c r="C998" s="784"/>
    </row>
    <row r="999" spans="3:3" x14ac:dyDescent="0.25">
      <c r="C999" s="784"/>
    </row>
    <row r="1000" spans="3:3" x14ac:dyDescent="0.25">
      <c r="C1000" s="784"/>
    </row>
    <row r="1001" spans="3:3" x14ac:dyDescent="0.25">
      <c r="C1001" s="784"/>
    </row>
    <row r="1002" spans="3:3" x14ac:dyDescent="0.25">
      <c r="C1002" s="784"/>
    </row>
    <row r="1003" spans="3:3" x14ac:dyDescent="0.25">
      <c r="C1003" s="784"/>
    </row>
    <row r="1004" spans="3:3" x14ac:dyDescent="0.25">
      <c r="C1004" s="784"/>
    </row>
    <row r="1005" spans="3:3" x14ac:dyDescent="0.25">
      <c r="C1005" s="784"/>
    </row>
    <row r="1006" spans="3:3" x14ac:dyDescent="0.25">
      <c r="C1006" s="784"/>
    </row>
    <row r="1007" spans="3:3" x14ac:dyDescent="0.25">
      <c r="C1007" s="784"/>
    </row>
    <row r="1008" spans="3:3" x14ac:dyDescent="0.25">
      <c r="C1008" s="784"/>
    </row>
    <row r="1009" spans="3:3" x14ac:dyDescent="0.25">
      <c r="C1009" s="784"/>
    </row>
    <row r="1010" spans="3:3" x14ac:dyDescent="0.25">
      <c r="C1010" s="784"/>
    </row>
    <row r="1011" spans="3:3" x14ac:dyDescent="0.25">
      <c r="C1011" s="784"/>
    </row>
    <row r="1012" spans="3:3" x14ac:dyDescent="0.25">
      <c r="C1012" s="784"/>
    </row>
    <row r="1013" spans="3:3" x14ac:dyDescent="0.25">
      <c r="C1013" s="784"/>
    </row>
    <row r="1014" spans="3:3" x14ac:dyDescent="0.25">
      <c r="C1014" s="784"/>
    </row>
    <row r="1015" spans="3:3" x14ac:dyDescent="0.25">
      <c r="C1015" s="784"/>
    </row>
    <row r="1016" spans="3:3" x14ac:dyDescent="0.25">
      <c r="C1016" s="784"/>
    </row>
    <row r="1017" spans="3:3" x14ac:dyDescent="0.25">
      <c r="C1017" s="784"/>
    </row>
    <row r="1018" spans="3:3" x14ac:dyDescent="0.25">
      <c r="C1018" s="784"/>
    </row>
    <row r="1019" spans="3:3" x14ac:dyDescent="0.25">
      <c r="C1019" s="784"/>
    </row>
    <row r="1020" spans="3:3" x14ac:dyDescent="0.25">
      <c r="C1020" s="784"/>
    </row>
    <row r="1021" spans="3:3" x14ac:dyDescent="0.25">
      <c r="C1021" s="784"/>
    </row>
    <row r="1022" spans="3:3" x14ac:dyDescent="0.25">
      <c r="C1022" s="784"/>
    </row>
    <row r="1023" spans="3:3" x14ac:dyDescent="0.25">
      <c r="C1023" s="784"/>
    </row>
    <row r="1024" spans="3:3" x14ac:dyDescent="0.25">
      <c r="C1024" s="784"/>
    </row>
    <row r="1025" spans="3:3" x14ac:dyDescent="0.25">
      <c r="C1025" s="784"/>
    </row>
    <row r="1026" spans="3:3" x14ac:dyDescent="0.25">
      <c r="C1026" s="784"/>
    </row>
    <row r="1027" spans="3:3" x14ac:dyDescent="0.25">
      <c r="C1027" s="784"/>
    </row>
    <row r="1028" spans="3:3" x14ac:dyDescent="0.25">
      <c r="C1028" s="784"/>
    </row>
    <row r="1029" spans="3:3" x14ac:dyDescent="0.25">
      <c r="C1029" s="784"/>
    </row>
    <row r="1030" spans="3:3" x14ac:dyDescent="0.25">
      <c r="C1030" s="784"/>
    </row>
    <row r="1031" spans="3:3" x14ac:dyDescent="0.25">
      <c r="C1031" s="784"/>
    </row>
    <row r="1032" spans="3:3" x14ac:dyDescent="0.25">
      <c r="C1032" s="784"/>
    </row>
    <row r="1033" spans="3:3" x14ac:dyDescent="0.25">
      <c r="C1033" s="784"/>
    </row>
    <row r="1034" spans="3:3" x14ac:dyDescent="0.25">
      <c r="C1034" s="784"/>
    </row>
    <row r="1035" spans="3:3" x14ac:dyDescent="0.25">
      <c r="C1035" s="784"/>
    </row>
    <row r="1036" spans="3:3" x14ac:dyDescent="0.25">
      <c r="C1036" s="784"/>
    </row>
    <row r="1037" spans="3:3" x14ac:dyDescent="0.25">
      <c r="C1037" s="784"/>
    </row>
    <row r="1038" spans="3:3" x14ac:dyDescent="0.25">
      <c r="C1038" s="784"/>
    </row>
    <row r="1039" spans="3:3" x14ac:dyDescent="0.25">
      <c r="C1039" s="784"/>
    </row>
    <row r="1040" spans="3:3" x14ac:dyDescent="0.25">
      <c r="C1040" s="784"/>
    </row>
    <row r="1041" spans="3:3" x14ac:dyDescent="0.25">
      <c r="C1041" s="784"/>
    </row>
    <row r="1042" spans="3:3" x14ac:dyDescent="0.25">
      <c r="C1042" s="784"/>
    </row>
    <row r="1043" spans="3:3" x14ac:dyDescent="0.25">
      <c r="C1043" s="784"/>
    </row>
    <row r="1044" spans="3:3" x14ac:dyDescent="0.25">
      <c r="C1044" s="784"/>
    </row>
    <row r="1045" spans="3:3" x14ac:dyDescent="0.25">
      <c r="C1045" s="784"/>
    </row>
    <row r="1046" spans="3:3" x14ac:dyDescent="0.25">
      <c r="C1046" s="784"/>
    </row>
    <row r="1047" spans="3:3" x14ac:dyDescent="0.25">
      <c r="C1047" s="784"/>
    </row>
    <row r="1048" spans="3:3" x14ac:dyDescent="0.25">
      <c r="C1048" s="784"/>
    </row>
    <row r="1049" spans="3:3" x14ac:dyDescent="0.25">
      <c r="C1049" s="784"/>
    </row>
    <row r="1050" spans="3:3" x14ac:dyDescent="0.25">
      <c r="C1050" s="784"/>
    </row>
    <row r="1051" spans="3:3" x14ac:dyDescent="0.25">
      <c r="C1051" s="784"/>
    </row>
    <row r="1052" spans="3:3" x14ac:dyDescent="0.25">
      <c r="C1052" s="784"/>
    </row>
    <row r="1053" spans="3:3" x14ac:dyDescent="0.25">
      <c r="C1053" s="784"/>
    </row>
    <row r="1054" spans="3:3" x14ac:dyDescent="0.25">
      <c r="C1054" s="784"/>
    </row>
    <row r="1055" spans="3:3" x14ac:dyDescent="0.25">
      <c r="C1055" s="784"/>
    </row>
    <row r="1056" spans="3:3" x14ac:dyDescent="0.25">
      <c r="C1056" s="784"/>
    </row>
    <row r="1057" spans="3:3" x14ac:dyDescent="0.25">
      <c r="C1057" s="784"/>
    </row>
    <row r="1058" spans="3:3" x14ac:dyDescent="0.25">
      <c r="C1058" s="784"/>
    </row>
    <row r="1059" spans="3:3" x14ac:dyDescent="0.25">
      <c r="C1059" s="784"/>
    </row>
    <row r="1060" spans="3:3" x14ac:dyDescent="0.25">
      <c r="C1060" s="784"/>
    </row>
    <row r="1061" spans="3:3" x14ac:dyDescent="0.25">
      <c r="C1061" s="784"/>
    </row>
    <row r="1062" spans="3:3" x14ac:dyDescent="0.25">
      <c r="C1062" s="784"/>
    </row>
    <row r="1063" spans="3:3" x14ac:dyDescent="0.25">
      <c r="C1063" s="784"/>
    </row>
    <row r="1064" spans="3:3" x14ac:dyDescent="0.25">
      <c r="C1064" s="784"/>
    </row>
    <row r="1065" spans="3:3" x14ac:dyDescent="0.25">
      <c r="C1065" s="784"/>
    </row>
    <row r="1066" spans="3:3" x14ac:dyDescent="0.25">
      <c r="C1066" s="784"/>
    </row>
    <row r="1067" spans="3:3" x14ac:dyDescent="0.25">
      <c r="C1067" s="784"/>
    </row>
    <row r="1068" spans="3:3" x14ac:dyDescent="0.25">
      <c r="C1068" s="784"/>
    </row>
    <row r="1069" spans="3:3" x14ac:dyDescent="0.25">
      <c r="C1069" s="784"/>
    </row>
    <row r="1070" spans="3:3" x14ac:dyDescent="0.25">
      <c r="C1070" s="784"/>
    </row>
    <row r="1071" spans="3:3" x14ac:dyDescent="0.25">
      <c r="C1071" s="784"/>
    </row>
    <row r="1072" spans="3:3" x14ac:dyDescent="0.25">
      <c r="C1072" s="784"/>
    </row>
    <row r="1073" spans="3:3" x14ac:dyDescent="0.25">
      <c r="C1073" s="784"/>
    </row>
    <row r="1074" spans="3:3" x14ac:dyDescent="0.25">
      <c r="C1074" s="784"/>
    </row>
    <row r="1075" spans="3:3" x14ac:dyDescent="0.25">
      <c r="C1075" s="784"/>
    </row>
    <row r="1076" spans="3:3" x14ac:dyDescent="0.25">
      <c r="C1076" s="784"/>
    </row>
    <row r="1077" spans="3:3" x14ac:dyDescent="0.25">
      <c r="C1077" s="784"/>
    </row>
    <row r="1078" spans="3:3" x14ac:dyDescent="0.25">
      <c r="C1078" s="784"/>
    </row>
    <row r="1079" spans="3:3" x14ac:dyDescent="0.25">
      <c r="C1079" s="784"/>
    </row>
    <row r="1080" spans="3:3" x14ac:dyDescent="0.25">
      <c r="C1080" s="784"/>
    </row>
    <row r="1081" spans="3:3" x14ac:dyDescent="0.25">
      <c r="C1081" s="784"/>
    </row>
    <row r="1082" spans="3:3" x14ac:dyDescent="0.25">
      <c r="C1082" s="784"/>
    </row>
    <row r="1083" spans="3:3" x14ac:dyDescent="0.25">
      <c r="C1083" s="784"/>
    </row>
    <row r="1084" spans="3:3" x14ac:dyDescent="0.25">
      <c r="C1084" s="784"/>
    </row>
    <row r="1085" spans="3:3" x14ac:dyDescent="0.25">
      <c r="C1085" s="784"/>
    </row>
    <row r="1086" spans="3:3" x14ac:dyDescent="0.25">
      <c r="C1086" s="784"/>
    </row>
    <row r="1087" spans="3:3" x14ac:dyDescent="0.25">
      <c r="C1087" s="784"/>
    </row>
    <row r="1088" spans="3:3" x14ac:dyDescent="0.25">
      <c r="C1088" s="784"/>
    </row>
    <row r="1089" spans="3:3" x14ac:dyDescent="0.25">
      <c r="C1089" s="784"/>
    </row>
    <row r="1090" spans="3:3" x14ac:dyDescent="0.25">
      <c r="C1090" s="784"/>
    </row>
    <row r="1091" spans="3:3" x14ac:dyDescent="0.25">
      <c r="C1091" s="784"/>
    </row>
    <row r="1092" spans="3:3" x14ac:dyDescent="0.25">
      <c r="C1092" s="784"/>
    </row>
    <row r="1093" spans="3:3" x14ac:dyDescent="0.25">
      <c r="C1093" s="784"/>
    </row>
    <row r="1094" spans="3:3" x14ac:dyDescent="0.25">
      <c r="C1094" s="784"/>
    </row>
    <row r="1095" spans="3:3" x14ac:dyDescent="0.25">
      <c r="C1095" s="784"/>
    </row>
    <row r="1096" spans="3:3" x14ac:dyDescent="0.25">
      <c r="C1096" s="784"/>
    </row>
    <row r="1097" spans="3:3" x14ac:dyDescent="0.25">
      <c r="C1097" s="784"/>
    </row>
    <row r="1098" spans="3:3" x14ac:dyDescent="0.25">
      <c r="C1098" s="784"/>
    </row>
    <row r="1099" spans="3:3" x14ac:dyDescent="0.25">
      <c r="C1099" s="784"/>
    </row>
    <row r="1100" spans="3:3" x14ac:dyDescent="0.25">
      <c r="C1100" s="784"/>
    </row>
    <row r="1101" spans="3:3" x14ac:dyDescent="0.25">
      <c r="C1101" s="784"/>
    </row>
    <row r="1102" spans="3:3" x14ac:dyDescent="0.25">
      <c r="C1102" s="784"/>
    </row>
    <row r="1103" spans="3:3" x14ac:dyDescent="0.25">
      <c r="C1103" s="784"/>
    </row>
    <row r="1104" spans="3:3" x14ac:dyDescent="0.25">
      <c r="C1104" s="784"/>
    </row>
    <row r="1105" spans="3:3" x14ac:dyDescent="0.25">
      <c r="C1105" s="784"/>
    </row>
    <row r="1106" spans="3:3" x14ac:dyDescent="0.25">
      <c r="C1106" s="784"/>
    </row>
    <row r="1107" spans="3:3" x14ac:dyDescent="0.25">
      <c r="C1107" s="784"/>
    </row>
    <row r="1108" spans="3:3" x14ac:dyDescent="0.25">
      <c r="C1108" s="784"/>
    </row>
    <row r="1109" spans="3:3" x14ac:dyDescent="0.25">
      <c r="C1109" s="784"/>
    </row>
    <row r="1110" spans="3:3" x14ac:dyDescent="0.25">
      <c r="C1110" s="784"/>
    </row>
    <row r="1111" spans="3:3" x14ac:dyDescent="0.25">
      <c r="C1111" s="784"/>
    </row>
    <row r="1112" spans="3:3" x14ac:dyDescent="0.25">
      <c r="C1112" s="784"/>
    </row>
    <row r="1113" spans="3:3" x14ac:dyDescent="0.25">
      <c r="C1113" s="784"/>
    </row>
    <row r="1114" spans="3:3" x14ac:dyDescent="0.25">
      <c r="C1114" s="784"/>
    </row>
    <row r="1115" spans="3:3" x14ac:dyDescent="0.25">
      <c r="C1115" s="784"/>
    </row>
    <row r="1116" spans="3:3" x14ac:dyDescent="0.25">
      <c r="C1116" s="784"/>
    </row>
    <row r="1117" spans="3:3" x14ac:dyDescent="0.25">
      <c r="C1117" s="784"/>
    </row>
    <row r="1118" spans="3:3" x14ac:dyDescent="0.25">
      <c r="C1118" s="784"/>
    </row>
    <row r="1119" spans="3:3" x14ac:dyDescent="0.25">
      <c r="C1119" s="784"/>
    </row>
    <row r="1120" spans="3:3" x14ac:dyDescent="0.25">
      <c r="C1120" s="784"/>
    </row>
    <row r="1121" spans="3:3" x14ac:dyDescent="0.25">
      <c r="C1121" s="784"/>
    </row>
    <row r="1122" spans="3:3" x14ac:dyDescent="0.25">
      <c r="C1122" s="784"/>
    </row>
    <row r="1123" spans="3:3" x14ac:dyDescent="0.25">
      <c r="C1123" s="784"/>
    </row>
    <row r="1124" spans="3:3" x14ac:dyDescent="0.25">
      <c r="C1124" s="784"/>
    </row>
    <row r="1125" spans="3:3" x14ac:dyDescent="0.25">
      <c r="C1125" s="784"/>
    </row>
    <row r="1126" spans="3:3" x14ac:dyDescent="0.25">
      <c r="C1126" s="784"/>
    </row>
    <row r="1127" spans="3:3" x14ac:dyDescent="0.25">
      <c r="C1127" s="784"/>
    </row>
    <row r="1128" spans="3:3" x14ac:dyDescent="0.25">
      <c r="C1128" s="784"/>
    </row>
    <row r="1129" spans="3:3" x14ac:dyDescent="0.25">
      <c r="C1129" s="784"/>
    </row>
    <row r="1130" spans="3:3" x14ac:dyDescent="0.25">
      <c r="C1130" s="784"/>
    </row>
    <row r="1131" spans="3:3" x14ac:dyDescent="0.25">
      <c r="C1131" s="784"/>
    </row>
    <row r="1132" spans="3:3" x14ac:dyDescent="0.25">
      <c r="C1132" s="784"/>
    </row>
    <row r="1133" spans="3:3" x14ac:dyDescent="0.25">
      <c r="C1133" s="784"/>
    </row>
    <row r="1134" spans="3:3" x14ac:dyDescent="0.25">
      <c r="C1134" s="784"/>
    </row>
    <row r="1135" spans="3:3" x14ac:dyDescent="0.25">
      <c r="C1135" s="784"/>
    </row>
    <row r="1136" spans="3:3" x14ac:dyDescent="0.25">
      <c r="C1136" s="784"/>
    </row>
    <row r="1137" spans="3:3" x14ac:dyDescent="0.25">
      <c r="C1137" s="784"/>
    </row>
    <row r="1138" spans="3:3" x14ac:dyDescent="0.25">
      <c r="C1138" s="784"/>
    </row>
    <row r="1139" spans="3:3" x14ac:dyDescent="0.25">
      <c r="C1139" s="784"/>
    </row>
    <row r="1140" spans="3:3" x14ac:dyDescent="0.25">
      <c r="C1140" s="784"/>
    </row>
    <row r="1141" spans="3:3" x14ac:dyDescent="0.25">
      <c r="C1141" s="784"/>
    </row>
    <row r="1142" spans="3:3" x14ac:dyDescent="0.25">
      <c r="C1142" s="784"/>
    </row>
    <row r="1143" spans="3:3" x14ac:dyDescent="0.25">
      <c r="C1143" s="784"/>
    </row>
    <row r="1144" spans="3:3" x14ac:dyDescent="0.25">
      <c r="C1144" s="784"/>
    </row>
    <row r="1145" spans="3:3" x14ac:dyDescent="0.25">
      <c r="C1145" s="784"/>
    </row>
    <row r="1146" spans="3:3" x14ac:dyDescent="0.25">
      <c r="C1146" s="784"/>
    </row>
    <row r="1147" spans="3:3" x14ac:dyDescent="0.25">
      <c r="C1147" s="784"/>
    </row>
    <row r="1148" spans="3:3" x14ac:dyDescent="0.25">
      <c r="C1148" s="784"/>
    </row>
    <row r="1149" spans="3:3" x14ac:dyDescent="0.25">
      <c r="C1149" s="784"/>
    </row>
    <row r="1150" spans="3:3" x14ac:dyDescent="0.25">
      <c r="C1150" s="784"/>
    </row>
    <row r="1151" spans="3:3" x14ac:dyDescent="0.25">
      <c r="C1151" s="784"/>
    </row>
    <row r="1152" spans="3:3" x14ac:dyDescent="0.25">
      <c r="C1152" s="784"/>
    </row>
    <row r="1153" spans="3:3" x14ac:dyDescent="0.25">
      <c r="C1153" s="784"/>
    </row>
    <row r="1154" spans="3:3" x14ac:dyDescent="0.25">
      <c r="C1154" s="784"/>
    </row>
    <row r="1155" spans="3:3" x14ac:dyDescent="0.25">
      <c r="C1155" s="784"/>
    </row>
    <row r="1156" spans="3:3" x14ac:dyDescent="0.25">
      <c r="C1156" s="784"/>
    </row>
    <row r="1157" spans="3:3" x14ac:dyDescent="0.25">
      <c r="C1157" s="784"/>
    </row>
    <row r="1158" spans="3:3" x14ac:dyDescent="0.25">
      <c r="C1158" s="784"/>
    </row>
    <row r="1159" spans="3:3" x14ac:dyDescent="0.25">
      <c r="C1159" s="784"/>
    </row>
    <row r="1160" spans="3:3" x14ac:dyDescent="0.25">
      <c r="C1160" s="784"/>
    </row>
    <row r="1161" spans="3:3" x14ac:dyDescent="0.25">
      <c r="C1161" s="784"/>
    </row>
    <row r="1162" spans="3:3" x14ac:dyDescent="0.25">
      <c r="C1162" s="784"/>
    </row>
    <row r="1163" spans="3:3" x14ac:dyDescent="0.25">
      <c r="C1163" s="784"/>
    </row>
    <row r="1164" spans="3:3" x14ac:dyDescent="0.25">
      <c r="C1164" s="784"/>
    </row>
    <row r="1165" spans="3:3" x14ac:dyDescent="0.25">
      <c r="C1165" s="784"/>
    </row>
    <row r="1166" spans="3:3" x14ac:dyDescent="0.25">
      <c r="C1166" s="784"/>
    </row>
    <row r="1167" spans="3:3" x14ac:dyDescent="0.25">
      <c r="C1167" s="784"/>
    </row>
    <row r="1168" spans="3:3" x14ac:dyDescent="0.25">
      <c r="C1168" s="784"/>
    </row>
    <row r="1169" spans="3:3" x14ac:dyDescent="0.25">
      <c r="C1169" s="784"/>
    </row>
    <row r="1170" spans="3:3" x14ac:dyDescent="0.25">
      <c r="C1170" s="784"/>
    </row>
    <row r="1171" spans="3:3" x14ac:dyDescent="0.25">
      <c r="C1171" s="784"/>
    </row>
    <row r="1172" spans="3:3" x14ac:dyDescent="0.25">
      <c r="C1172" s="784"/>
    </row>
    <row r="1173" spans="3:3" x14ac:dyDescent="0.25">
      <c r="C1173" s="784"/>
    </row>
    <row r="1174" spans="3:3" x14ac:dyDescent="0.25">
      <c r="C1174" s="784"/>
    </row>
    <row r="1175" spans="3:3" x14ac:dyDescent="0.25">
      <c r="C1175" s="784"/>
    </row>
    <row r="1176" spans="3:3" x14ac:dyDescent="0.25">
      <c r="C1176" s="784"/>
    </row>
    <row r="1177" spans="3:3" x14ac:dyDescent="0.25">
      <c r="C1177" s="784"/>
    </row>
    <row r="1178" spans="3:3" x14ac:dyDescent="0.25">
      <c r="C1178" s="784"/>
    </row>
    <row r="1179" spans="3:3" x14ac:dyDescent="0.25">
      <c r="C1179" s="784"/>
    </row>
    <row r="1180" spans="3:3" x14ac:dyDescent="0.25">
      <c r="C1180" s="784"/>
    </row>
    <row r="1181" spans="3:3" x14ac:dyDescent="0.25">
      <c r="C1181" s="784"/>
    </row>
    <row r="1182" spans="3:3" x14ac:dyDescent="0.25">
      <c r="C1182" s="784"/>
    </row>
    <row r="1183" spans="3:3" x14ac:dyDescent="0.25">
      <c r="C1183" s="784"/>
    </row>
    <row r="1184" spans="3:3" x14ac:dyDescent="0.25">
      <c r="C1184" s="784"/>
    </row>
    <row r="1185" spans="3:3" x14ac:dyDescent="0.25">
      <c r="C1185" s="784"/>
    </row>
    <row r="1186" spans="3:3" x14ac:dyDescent="0.25">
      <c r="C1186" s="784"/>
    </row>
    <row r="1187" spans="3:3" x14ac:dyDescent="0.25">
      <c r="C1187" s="784"/>
    </row>
    <row r="1188" spans="3:3" x14ac:dyDescent="0.25">
      <c r="C1188" s="784"/>
    </row>
    <row r="1189" spans="3:3" x14ac:dyDescent="0.25">
      <c r="C1189" s="784"/>
    </row>
    <row r="1190" spans="3:3" x14ac:dyDescent="0.25">
      <c r="C1190" s="784"/>
    </row>
    <row r="1191" spans="3:3" x14ac:dyDescent="0.25">
      <c r="C1191" s="784"/>
    </row>
    <row r="1192" spans="3:3" x14ac:dyDescent="0.25">
      <c r="C1192" s="784"/>
    </row>
    <row r="1193" spans="3:3" x14ac:dyDescent="0.25">
      <c r="C1193" s="784"/>
    </row>
    <row r="1194" spans="3:3" x14ac:dyDescent="0.25">
      <c r="C1194" s="784"/>
    </row>
    <row r="1195" spans="3:3" x14ac:dyDescent="0.25">
      <c r="C1195" s="784"/>
    </row>
    <row r="1196" spans="3:3" x14ac:dyDescent="0.25">
      <c r="C1196" s="784"/>
    </row>
    <row r="1197" spans="3:3" x14ac:dyDescent="0.25">
      <c r="C1197" s="784"/>
    </row>
    <row r="1198" spans="3:3" x14ac:dyDescent="0.25">
      <c r="C1198" s="784"/>
    </row>
    <row r="1199" spans="3:3" x14ac:dyDescent="0.25">
      <c r="C1199" s="784"/>
    </row>
    <row r="1200" spans="3:3" x14ac:dyDescent="0.25">
      <c r="C1200" s="784"/>
    </row>
    <row r="1201" spans="3:3" x14ac:dyDescent="0.25">
      <c r="C1201" s="784"/>
    </row>
    <row r="1202" spans="3:3" x14ac:dyDescent="0.25">
      <c r="C1202" s="784"/>
    </row>
    <row r="1203" spans="3:3" x14ac:dyDescent="0.25">
      <c r="C1203" s="784"/>
    </row>
    <row r="1204" spans="3:3" x14ac:dyDescent="0.25">
      <c r="C1204" s="784"/>
    </row>
    <row r="1205" spans="3:3" x14ac:dyDescent="0.25">
      <c r="C1205" s="784"/>
    </row>
    <row r="1206" spans="3:3" x14ac:dyDescent="0.25">
      <c r="C1206" s="784"/>
    </row>
    <row r="1207" spans="3:3" x14ac:dyDescent="0.25">
      <c r="C1207" s="784"/>
    </row>
    <row r="1208" spans="3:3" x14ac:dyDescent="0.25">
      <c r="C1208" s="784"/>
    </row>
    <row r="1209" spans="3:3" x14ac:dyDescent="0.25">
      <c r="C1209" s="784"/>
    </row>
    <row r="1210" spans="3:3" x14ac:dyDescent="0.25">
      <c r="C1210" s="784"/>
    </row>
    <row r="1211" spans="3:3" x14ac:dyDescent="0.25">
      <c r="C1211" s="784"/>
    </row>
    <row r="1212" spans="3:3" x14ac:dyDescent="0.25">
      <c r="C1212" s="784"/>
    </row>
    <row r="1213" spans="3:3" x14ac:dyDescent="0.25">
      <c r="C1213" s="784"/>
    </row>
    <row r="1214" spans="3:3" x14ac:dyDescent="0.25">
      <c r="C1214" s="784"/>
    </row>
    <row r="1215" spans="3:3" x14ac:dyDescent="0.25">
      <c r="C1215" s="784"/>
    </row>
    <row r="1216" spans="3:3" x14ac:dyDescent="0.25">
      <c r="C1216" s="784"/>
    </row>
    <row r="1217" spans="3:3" x14ac:dyDescent="0.25">
      <c r="C1217" s="784"/>
    </row>
    <row r="1218" spans="3:3" x14ac:dyDescent="0.25">
      <c r="C1218" s="784"/>
    </row>
    <row r="1219" spans="3:3" x14ac:dyDescent="0.25">
      <c r="C1219" s="784"/>
    </row>
    <row r="1220" spans="3:3" x14ac:dyDescent="0.25">
      <c r="C1220" s="784"/>
    </row>
    <row r="1221" spans="3:3" x14ac:dyDescent="0.25">
      <c r="C1221" s="784"/>
    </row>
    <row r="1222" spans="3:3" x14ac:dyDescent="0.25">
      <c r="C1222" s="784"/>
    </row>
    <row r="1223" spans="3:3" x14ac:dyDescent="0.25">
      <c r="C1223" s="784"/>
    </row>
    <row r="1224" spans="3:3" x14ac:dyDescent="0.25">
      <c r="C1224" s="784"/>
    </row>
    <row r="1225" spans="3:3" x14ac:dyDescent="0.25">
      <c r="C1225" s="784"/>
    </row>
    <row r="1226" spans="3:3" x14ac:dyDescent="0.25">
      <c r="C1226" s="784"/>
    </row>
    <row r="1227" spans="3:3" x14ac:dyDescent="0.25">
      <c r="C1227" s="784"/>
    </row>
    <row r="1228" spans="3:3" x14ac:dyDescent="0.25">
      <c r="C1228" s="784"/>
    </row>
    <row r="1229" spans="3:3" x14ac:dyDescent="0.25">
      <c r="C1229" s="784"/>
    </row>
    <row r="1230" spans="3:3" x14ac:dyDescent="0.25">
      <c r="C1230" s="784"/>
    </row>
    <row r="1231" spans="3:3" x14ac:dyDescent="0.25">
      <c r="C1231" s="784"/>
    </row>
    <row r="1232" spans="3:3" x14ac:dyDescent="0.25">
      <c r="C1232" s="784"/>
    </row>
    <row r="1233" spans="3:3" x14ac:dyDescent="0.25">
      <c r="C1233" s="784"/>
    </row>
    <row r="1234" spans="3:3" x14ac:dyDescent="0.25">
      <c r="C1234" s="784"/>
    </row>
    <row r="1235" spans="3:3" x14ac:dyDescent="0.25">
      <c r="C1235" s="784"/>
    </row>
    <row r="1236" spans="3:3" x14ac:dyDescent="0.25">
      <c r="C1236" s="784"/>
    </row>
    <row r="1237" spans="3:3" x14ac:dyDescent="0.25">
      <c r="C1237" s="784"/>
    </row>
    <row r="1238" spans="3:3" x14ac:dyDescent="0.25">
      <c r="C1238" s="784"/>
    </row>
    <row r="1239" spans="3:3" x14ac:dyDescent="0.25">
      <c r="C1239" s="784"/>
    </row>
    <row r="1240" spans="3:3" x14ac:dyDescent="0.25">
      <c r="C1240" s="784"/>
    </row>
    <row r="1241" spans="3:3" x14ac:dyDescent="0.25">
      <c r="C1241" s="784"/>
    </row>
    <row r="1242" spans="3:3" x14ac:dyDescent="0.25">
      <c r="C1242" s="784"/>
    </row>
    <row r="1243" spans="3:3" x14ac:dyDescent="0.25">
      <c r="C1243" s="784"/>
    </row>
    <row r="1244" spans="3:3" x14ac:dyDescent="0.25">
      <c r="C1244" s="784"/>
    </row>
    <row r="1245" spans="3:3" x14ac:dyDescent="0.25">
      <c r="C1245" s="784"/>
    </row>
    <row r="1246" spans="3:3" x14ac:dyDescent="0.25">
      <c r="C1246" s="784"/>
    </row>
    <row r="1247" spans="3:3" x14ac:dyDescent="0.25">
      <c r="C1247" s="784"/>
    </row>
    <row r="1248" spans="3:3" x14ac:dyDescent="0.25">
      <c r="C1248" s="784"/>
    </row>
    <row r="1249" spans="3:3" x14ac:dyDescent="0.25">
      <c r="C1249" s="784"/>
    </row>
    <row r="1250" spans="3:3" x14ac:dyDescent="0.25">
      <c r="C1250" s="784"/>
    </row>
    <row r="1251" spans="3:3" x14ac:dyDescent="0.25">
      <c r="C1251" s="784"/>
    </row>
    <row r="1252" spans="3:3" x14ac:dyDescent="0.25">
      <c r="C1252" s="784"/>
    </row>
    <row r="1253" spans="3:3" x14ac:dyDescent="0.25">
      <c r="C1253" s="784"/>
    </row>
    <row r="1254" spans="3:3" x14ac:dyDescent="0.25">
      <c r="C1254" s="784"/>
    </row>
    <row r="1255" spans="3:3" x14ac:dyDescent="0.25">
      <c r="C1255" s="784"/>
    </row>
    <row r="1256" spans="3:3" x14ac:dyDescent="0.25">
      <c r="C1256" s="784"/>
    </row>
    <row r="1257" spans="3:3" x14ac:dyDescent="0.25">
      <c r="C1257" s="784"/>
    </row>
    <row r="1258" spans="3:3" x14ac:dyDescent="0.25">
      <c r="C1258" s="784"/>
    </row>
    <row r="1259" spans="3:3" x14ac:dyDescent="0.25">
      <c r="C1259" s="784"/>
    </row>
    <row r="1260" spans="3:3" x14ac:dyDescent="0.25">
      <c r="C1260" s="784"/>
    </row>
    <row r="1261" spans="3:3" x14ac:dyDescent="0.25">
      <c r="C1261" s="784"/>
    </row>
    <row r="1262" spans="3:3" x14ac:dyDescent="0.25">
      <c r="C1262" s="784"/>
    </row>
    <row r="1263" spans="3:3" x14ac:dyDescent="0.25">
      <c r="C1263" s="784"/>
    </row>
    <row r="1264" spans="3:3" x14ac:dyDescent="0.25">
      <c r="C1264" s="784"/>
    </row>
    <row r="1265" spans="3:3" x14ac:dyDescent="0.25">
      <c r="C1265" s="784"/>
    </row>
    <row r="1266" spans="3:3" x14ac:dyDescent="0.25">
      <c r="C1266" s="784"/>
    </row>
    <row r="1267" spans="3:3" x14ac:dyDescent="0.25">
      <c r="C1267" s="784"/>
    </row>
    <row r="1268" spans="3:3" x14ac:dyDescent="0.25">
      <c r="C1268" s="784"/>
    </row>
    <row r="1269" spans="3:3" x14ac:dyDescent="0.25">
      <c r="C1269" s="784"/>
    </row>
    <row r="1270" spans="3:3" x14ac:dyDescent="0.25">
      <c r="C1270" s="784"/>
    </row>
    <row r="1271" spans="3:3" x14ac:dyDescent="0.25">
      <c r="C1271" s="784"/>
    </row>
    <row r="1272" spans="3:3" x14ac:dyDescent="0.25">
      <c r="C1272" s="784"/>
    </row>
    <row r="1273" spans="3:3" x14ac:dyDescent="0.25">
      <c r="C1273" s="784"/>
    </row>
    <row r="1274" spans="3:3" x14ac:dyDescent="0.25">
      <c r="C1274" s="784"/>
    </row>
    <row r="1275" spans="3:3" x14ac:dyDescent="0.25">
      <c r="C1275" s="784"/>
    </row>
    <row r="1276" spans="3:3" x14ac:dyDescent="0.25">
      <c r="C1276" s="784"/>
    </row>
    <row r="1277" spans="3:3" x14ac:dyDescent="0.25">
      <c r="C1277" s="784"/>
    </row>
    <row r="1278" spans="3:3" x14ac:dyDescent="0.25">
      <c r="C1278" s="784"/>
    </row>
    <row r="1279" spans="3:3" x14ac:dyDescent="0.25">
      <c r="C1279" s="784"/>
    </row>
    <row r="1280" spans="3:3" x14ac:dyDescent="0.25">
      <c r="C1280" s="784"/>
    </row>
    <row r="1281" spans="3:3" x14ac:dyDescent="0.25">
      <c r="C1281" s="784"/>
    </row>
    <row r="1282" spans="3:3" x14ac:dyDescent="0.25">
      <c r="C1282" s="784"/>
    </row>
    <row r="1283" spans="3:3" x14ac:dyDescent="0.25">
      <c r="C1283" s="784"/>
    </row>
    <row r="1284" spans="3:3" x14ac:dyDescent="0.25">
      <c r="C1284" s="784"/>
    </row>
    <row r="1285" spans="3:3" x14ac:dyDescent="0.25">
      <c r="C1285" s="784"/>
    </row>
    <row r="1286" spans="3:3" x14ac:dyDescent="0.25">
      <c r="C1286" s="784"/>
    </row>
    <row r="1287" spans="3:3" x14ac:dyDescent="0.25">
      <c r="C1287" s="784"/>
    </row>
    <row r="1288" spans="3:3" x14ac:dyDescent="0.25">
      <c r="C1288" s="784"/>
    </row>
    <row r="1289" spans="3:3" x14ac:dyDescent="0.25">
      <c r="C1289" s="784"/>
    </row>
    <row r="1290" spans="3:3" x14ac:dyDescent="0.25">
      <c r="C1290" s="784"/>
    </row>
    <row r="1291" spans="3:3" x14ac:dyDescent="0.25">
      <c r="C1291" s="784"/>
    </row>
    <row r="1292" spans="3:3" x14ac:dyDescent="0.25">
      <c r="C1292" s="784"/>
    </row>
    <row r="1293" spans="3:3" x14ac:dyDescent="0.25">
      <c r="C1293" s="784"/>
    </row>
    <row r="1294" spans="3:3" x14ac:dyDescent="0.25">
      <c r="C1294" s="784"/>
    </row>
    <row r="1295" spans="3:3" x14ac:dyDescent="0.25">
      <c r="C1295" s="784"/>
    </row>
    <row r="1296" spans="3:3" x14ac:dyDescent="0.25">
      <c r="C1296" s="784"/>
    </row>
    <row r="1297" spans="3:3" x14ac:dyDescent="0.25">
      <c r="C1297" s="784"/>
    </row>
    <row r="1298" spans="3:3" x14ac:dyDescent="0.25">
      <c r="C1298" s="784"/>
    </row>
    <row r="1299" spans="3:3" x14ac:dyDescent="0.25">
      <c r="C1299" s="784"/>
    </row>
    <row r="1300" spans="3:3" x14ac:dyDescent="0.25">
      <c r="C1300" s="784"/>
    </row>
    <row r="1301" spans="3:3" x14ac:dyDescent="0.25">
      <c r="C1301" s="784"/>
    </row>
    <row r="1302" spans="3:3" x14ac:dyDescent="0.25">
      <c r="C1302" s="784"/>
    </row>
    <row r="1303" spans="3:3" x14ac:dyDescent="0.25">
      <c r="C1303" s="784"/>
    </row>
    <row r="1304" spans="3:3" x14ac:dyDescent="0.25">
      <c r="C1304" s="784"/>
    </row>
    <row r="1305" spans="3:3" x14ac:dyDescent="0.25">
      <c r="C1305" s="784"/>
    </row>
    <row r="1306" spans="3:3" x14ac:dyDescent="0.25">
      <c r="C1306" s="784"/>
    </row>
    <row r="1307" spans="3:3" x14ac:dyDescent="0.25">
      <c r="C1307" s="784"/>
    </row>
    <row r="1308" spans="3:3" x14ac:dyDescent="0.25">
      <c r="C1308" s="784"/>
    </row>
    <row r="1309" spans="3:3" x14ac:dyDescent="0.25">
      <c r="C1309" s="784"/>
    </row>
    <row r="1310" spans="3:3" x14ac:dyDescent="0.25">
      <c r="C1310" s="784"/>
    </row>
    <row r="1311" spans="3:3" x14ac:dyDescent="0.25">
      <c r="C1311" s="784"/>
    </row>
    <row r="1312" spans="3:3" x14ac:dyDescent="0.25">
      <c r="C1312" s="784"/>
    </row>
    <row r="1313" spans="3:3" x14ac:dyDescent="0.25">
      <c r="C1313" s="784"/>
    </row>
    <row r="1314" spans="3:3" x14ac:dyDescent="0.25">
      <c r="C1314" s="784"/>
    </row>
    <row r="1315" spans="3:3" x14ac:dyDescent="0.25">
      <c r="C1315" s="784"/>
    </row>
    <row r="1316" spans="3:3" x14ac:dyDescent="0.25">
      <c r="C1316" s="784"/>
    </row>
    <row r="1317" spans="3:3" x14ac:dyDescent="0.25">
      <c r="C1317" s="784"/>
    </row>
    <row r="1318" spans="3:3" x14ac:dyDescent="0.25">
      <c r="C1318" s="784"/>
    </row>
    <row r="1319" spans="3:3" x14ac:dyDescent="0.25">
      <c r="C1319" s="784"/>
    </row>
    <row r="1320" spans="3:3" x14ac:dyDescent="0.25">
      <c r="C1320" s="784"/>
    </row>
    <row r="1321" spans="3:3" x14ac:dyDescent="0.25">
      <c r="C1321" s="784"/>
    </row>
    <row r="1322" spans="3:3" x14ac:dyDescent="0.25">
      <c r="C1322" s="784"/>
    </row>
    <row r="1323" spans="3:3" x14ac:dyDescent="0.25">
      <c r="C1323" s="784"/>
    </row>
    <row r="1324" spans="3:3" x14ac:dyDescent="0.25">
      <c r="C1324" s="784"/>
    </row>
    <row r="1325" spans="3:3" x14ac:dyDescent="0.25">
      <c r="C1325" s="784"/>
    </row>
    <row r="1326" spans="3:3" x14ac:dyDescent="0.25">
      <c r="C1326" s="784"/>
    </row>
    <row r="1327" spans="3:3" x14ac:dyDescent="0.25">
      <c r="C1327" s="784"/>
    </row>
    <row r="1328" spans="3:3" x14ac:dyDescent="0.25">
      <c r="C1328" s="784"/>
    </row>
    <row r="1329" spans="3:3" x14ac:dyDescent="0.25">
      <c r="C1329" s="784"/>
    </row>
    <row r="1330" spans="3:3" x14ac:dyDescent="0.25">
      <c r="C1330" s="784"/>
    </row>
    <row r="1331" spans="3:3" x14ac:dyDescent="0.25">
      <c r="C1331" s="784"/>
    </row>
    <row r="1332" spans="3:3" x14ac:dyDescent="0.25">
      <c r="C1332" s="784"/>
    </row>
    <row r="1333" spans="3:3" x14ac:dyDescent="0.25">
      <c r="C1333" s="784"/>
    </row>
    <row r="1334" spans="3:3" x14ac:dyDescent="0.25">
      <c r="C1334" s="784"/>
    </row>
    <row r="1335" spans="3:3" x14ac:dyDescent="0.25">
      <c r="C1335" s="784"/>
    </row>
    <row r="1336" spans="3:3" x14ac:dyDescent="0.25">
      <c r="C1336" s="784"/>
    </row>
    <row r="1337" spans="3:3" x14ac:dyDescent="0.25">
      <c r="C1337" s="784"/>
    </row>
    <row r="1338" spans="3:3" x14ac:dyDescent="0.25">
      <c r="C1338" s="784"/>
    </row>
    <row r="1339" spans="3:3" x14ac:dyDescent="0.25">
      <c r="C1339" s="784"/>
    </row>
    <row r="1340" spans="3:3" x14ac:dyDescent="0.25">
      <c r="C1340" s="784"/>
    </row>
    <row r="1341" spans="3:3" x14ac:dyDescent="0.25">
      <c r="C1341" s="784"/>
    </row>
    <row r="1342" spans="3:3" x14ac:dyDescent="0.25">
      <c r="C1342" s="784"/>
    </row>
    <row r="1343" spans="3:3" x14ac:dyDescent="0.25">
      <c r="C1343" s="784"/>
    </row>
    <row r="1344" spans="3:3" x14ac:dyDescent="0.25">
      <c r="C1344" s="784"/>
    </row>
    <row r="1345" spans="3:3" x14ac:dyDescent="0.25">
      <c r="C1345" s="784"/>
    </row>
    <row r="1346" spans="3:3" x14ac:dyDescent="0.25">
      <c r="C1346" s="784"/>
    </row>
    <row r="1347" spans="3:3" x14ac:dyDescent="0.25">
      <c r="C1347" s="784"/>
    </row>
    <row r="1348" spans="3:3" x14ac:dyDescent="0.25">
      <c r="C1348" s="784"/>
    </row>
    <row r="1349" spans="3:3" x14ac:dyDescent="0.25">
      <c r="C1349" s="784"/>
    </row>
    <row r="1350" spans="3:3" x14ac:dyDescent="0.25">
      <c r="C1350" s="784"/>
    </row>
    <row r="1351" spans="3:3" x14ac:dyDescent="0.25">
      <c r="C1351" s="784"/>
    </row>
    <row r="1352" spans="3:3" x14ac:dyDescent="0.25">
      <c r="C1352" s="784"/>
    </row>
    <row r="1353" spans="3:3" x14ac:dyDescent="0.25">
      <c r="C1353" s="784"/>
    </row>
    <row r="1354" spans="3:3" x14ac:dyDescent="0.25">
      <c r="C1354" s="784"/>
    </row>
    <row r="1355" spans="3:3" x14ac:dyDescent="0.25">
      <c r="C1355" s="784"/>
    </row>
    <row r="1356" spans="3:3" x14ac:dyDescent="0.25">
      <c r="C1356" s="784"/>
    </row>
    <row r="1357" spans="3:3" x14ac:dyDescent="0.25">
      <c r="C1357" s="784"/>
    </row>
    <row r="1358" spans="3:3" x14ac:dyDescent="0.25">
      <c r="C1358" s="784"/>
    </row>
    <row r="1359" spans="3:3" x14ac:dyDescent="0.25">
      <c r="C1359" s="784"/>
    </row>
    <row r="1360" spans="3:3" x14ac:dyDescent="0.25">
      <c r="C1360" s="784"/>
    </row>
    <row r="1361" spans="3:3" x14ac:dyDescent="0.25">
      <c r="C1361" s="784"/>
    </row>
    <row r="1362" spans="3:3" x14ac:dyDescent="0.25">
      <c r="C1362" s="784"/>
    </row>
    <row r="1363" spans="3:3" x14ac:dyDescent="0.25">
      <c r="C1363" s="784"/>
    </row>
    <row r="1364" spans="3:3" x14ac:dyDescent="0.25">
      <c r="C1364" s="784"/>
    </row>
    <row r="1365" spans="3:3" x14ac:dyDescent="0.25">
      <c r="C1365" s="784"/>
    </row>
    <row r="1366" spans="3:3" x14ac:dyDescent="0.25">
      <c r="C1366" s="784"/>
    </row>
    <row r="1367" spans="3:3" x14ac:dyDescent="0.25">
      <c r="C1367" s="784"/>
    </row>
    <row r="1368" spans="3:3" x14ac:dyDescent="0.25">
      <c r="C1368" s="784"/>
    </row>
    <row r="1369" spans="3:3" x14ac:dyDescent="0.25">
      <c r="C1369" s="784"/>
    </row>
    <row r="1370" spans="3:3" x14ac:dyDescent="0.25">
      <c r="C1370" s="784"/>
    </row>
    <row r="1371" spans="3:3" x14ac:dyDescent="0.25">
      <c r="C1371" s="784"/>
    </row>
    <row r="1372" spans="3:3" x14ac:dyDescent="0.25">
      <c r="C1372" s="784"/>
    </row>
    <row r="1373" spans="3:3" x14ac:dyDescent="0.25">
      <c r="C1373" s="784"/>
    </row>
    <row r="1374" spans="3:3" x14ac:dyDescent="0.25">
      <c r="C1374" s="784"/>
    </row>
    <row r="1375" spans="3:3" x14ac:dyDescent="0.25">
      <c r="C1375" s="784"/>
    </row>
    <row r="1376" spans="3:3" x14ac:dyDescent="0.25">
      <c r="C1376" s="784"/>
    </row>
    <row r="1377" spans="3:3" x14ac:dyDescent="0.25">
      <c r="C1377" s="784"/>
    </row>
    <row r="1378" spans="3:3" x14ac:dyDescent="0.25">
      <c r="C1378" s="784"/>
    </row>
    <row r="1379" spans="3:3" x14ac:dyDescent="0.25">
      <c r="C1379" s="784"/>
    </row>
    <row r="1380" spans="3:3" x14ac:dyDescent="0.25">
      <c r="C1380" s="784"/>
    </row>
    <row r="1381" spans="3:3" x14ac:dyDescent="0.25">
      <c r="C1381" s="784"/>
    </row>
    <row r="1382" spans="3:3" x14ac:dyDescent="0.25">
      <c r="C1382" s="784"/>
    </row>
    <row r="1383" spans="3:3" x14ac:dyDescent="0.25">
      <c r="C1383" s="784"/>
    </row>
    <row r="1384" spans="3:3" x14ac:dyDescent="0.25">
      <c r="C1384" s="784"/>
    </row>
    <row r="1385" spans="3:3" x14ac:dyDescent="0.25">
      <c r="C1385" s="784"/>
    </row>
    <row r="1386" spans="3:3" x14ac:dyDescent="0.25">
      <c r="C1386" s="784"/>
    </row>
    <row r="1387" spans="3:3" x14ac:dyDescent="0.25">
      <c r="C1387" s="784"/>
    </row>
    <row r="1388" spans="3:3" x14ac:dyDescent="0.25">
      <c r="C1388" s="784"/>
    </row>
    <row r="1389" spans="3:3" x14ac:dyDescent="0.25">
      <c r="C1389" s="784"/>
    </row>
    <row r="1390" spans="3:3" x14ac:dyDescent="0.25">
      <c r="C1390" s="784"/>
    </row>
    <row r="1391" spans="3:3" x14ac:dyDescent="0.25">
      <c r="C1391" s="784"/>
    </row>
    <row r="1392" spans="3:3" x14ac:dyDescent="0.25">
      <c r="C1392" s="784"/>
    </row>
    <row r="1393" spans="3:3" x14ac:dyDescent="0.25">
      <c r="C1393" s="784"/>
    </row>
    <row r="1394" spans="3:3" x14ac:dyDescent="0.25">
      <c r="C1394" s="784"/>
    </row>
    <row r="1395" spans="3:3" x14ac:dyDescent="0.25">
      <c r="C1395" s="784"/>
    </row>
    <row r="1396" spans="3:3" x14ac:dyDescent="0.25">
      <c r="C1396" s="784"/>
    </row>
    <row r="1397" spans="3:3" x14ac:dyDescent="0.25">
      <c r="C1397" s="784"/>
    </row>
    <row r="1398" spans="3:3" x14ac:dyDescent="0.25">
      <c r="C1398" s="784"/>
    </row>
    <row r="1399" spans="3:3" x14ac:dyDescent="0.25">
      <c r="C1399" s="784"/>
    </row>
    <row r="1400" spans="3:3" x14ac:dyDescent="0.25">
      <c r="C1400" s="784"/>
    </row>
    <row r="1401" spans="3:3" x14ac:dyDescent="0.25">
      <c r="C1401" s="784"/>
    </row>
    <row r="1402" spans="3:3" x14ac:dyDescent="0.25">
      <c r="C1402" s="784"/>
    </row>
    <row r="1403" spans="3:3" x14ac:dyDescent="0.25">
      <c r="C1403" s="784"/>
    </row>
    <row r="1404" spans="3:3" x14ac:dyDescent="0.25">
      <c r="C1404" s="784"/>
    </row>
    <row r="1405" spans="3:3" x14ac:dyDescent="0.25">
      <c r="C1405" s="784"/>
    </row>
    <row r="1406" spans="3:3" x14ac:dyDescent="0.25">
      <c r="C1406" s="784"/>
    </row>
    <row r="1407" spans="3:3" x14ac:dyDescent="0.25">
      <c r="C1407" s="784"/>
    </row>
    <row r="1408" spans="3:3" x14ac:dyDescent="0.25">
      <c r="C1408" s="784"/>
    </row>
    <row r="1409" spans="3:3" x14ac:dyDescent="0.25">
      <c r="C1409" s="784"/>
    </row>
    <row r="1410" spans="3:3" x14ac:dyDescent="0.25">
      <c r="C1410" s="784"/>
    </row>
    <row r="1411" spans="3:3" x14ac:dyDescent="0.25">
      <c r="C1411" s="784"/>
    </row>
    <row r="1412" spans="3:3" x14ac:dyDescent="0.25">
      <c r="C1412" s="784"/>
    </row>
    <row r="1413" spans="3:3" x14ac:dyDescent="0.25">
      <c r="C1413" s="784"/>
    </row>
    <row r="1414" spans="3:3" x14ac:dyDescent="0.25">
      <c r="C1414" s="784"/>
    </row>
    <row r="1415" spans="3:3" x14ac:dyDescent="0.25">
      <c r="C1415" s="784"/>
    </row>
    <row r="1416" spans="3:3" x14ac:dyDescent="0.25">
      <c r="C1416" s="784"/>
    </row>
    <row r="1417" spans="3:3" x14ac:dyDescent="0.25">
      <c r="C1417" s="784"/>
    </row>
    <row r="1418" spans="3:3" x14ac:dyDescent="0.25">
      <c r="C1418" s="784"/>
    </row>
    <row r="1419" spans="3:3" x14ac:dyDescent="0.25">
      <c r="C1419" s="784"/>
    </row>
    <row r="1420" spans="3:3" x14ac:dyDescent="0.25">
      <c r="C1420" s="784"/>
    </row>
    <row r="1421" spans="3:3" x14ac:dyDescent="0.25">
      <c r="C1421" s="784"/>
    </row>
    <row r="1422" spans="3:3" x14ac:dyDescent="0.25">
      <c r="C1422" s="784"/>
    </row>
    <row r="1423" spans="3:3" x14ac:dyDescent="0.25">
      <c r="C1423" s="784"/>
    </row>
    <row r="1424" spans="3:3" x14ac:dyDescent="0.25">
      <c r="C1424" s="784"/>
    </row>
    <row r="1425" spans="3:3" x14ac:dyDescent="0.25">
      <c r="C1425" s="784"/>
    </row>
    <row r="1426" spans="3:3" x14ac:dyDescent="0.25">
      <c r="C1426" s="784"/>
    </row>
    <row r="1427" spans="3:3" x14ac:dyDescent="0.25">
      <c r="C1427" s="784"/>
    </row>
    <row r="1428" spans="3:3" x14ac:dyDescent="0.25">
      <c r="C1428" s="784"/>
    </row>
    <row r="1429" spans="3:3" x14ac:dyDescent="0.25">
      <c r="C1429" s="784"/>
    </row>
    <row r="1430" spans="3:3" x14ac:dyDescent="0.25">
      <c r="C1430" s="784"/>
    </row>
    <row r="1431" spans="3:3" x14ac:dyDescent="0.25">
      <c r="C1431" s="784"/>
    </row>
    <row r="1432" spans="3:3" x14ac:dyDescent="0.25">
      <c r="C1432" s="784"/>
    </row>
    <row r="1433" spans="3:3" x14ac:dyDescent="0.25">
      <c r="C1433" s="784"/>
    </row>
    <row r="1434" spans="3:3" x14ac:dyDescent="0.25">
      <c r="C1434" s="784"/>
    </row>
    <row r="1435" spans="3:3" x14ac:dyDescent="0.25">
      <c r="C1435" s="784"/>
    </row>
    <row r="1436" spans="3:3" x14ac:dyDescent="0.25">
      <c r="C1436" s="784"/>
    </row>
    <row r="1437" spans="3:3" x14ac:dyDescent="0.25">
      <c r="C1437" s="784"/>
    </row>
    <row r="1438" spans="3:3" x14ac:dyDescent="0.25">
      <c r="C1438" s="784"/>
    </row>
    <row r="1439" spans="3:3" x14ac:dyDescent="0.25">
      <c r="C1439" s="784"/>
    </row>
    <row r="1440" spans="3:3" x14ac:dyDescent="0.25">
      <c r="C1440" s="784"/>
    </row>
    <row r="1441" spans="3:3" x14ac:dyDescent="0.25">
      <c r="C1441" s="784"/>
    </row>
    <row r="1442" spans="3:3" x14ac:dyDescent="0.25">
      <c r="C1442" s="784"/>
    </row>
    <row r="1443" spans="3:3" x14ac:dyDescent="0.25">
      <c r="C1443" s="784"/>
    </row>
    <row r="1444" spans="3:3" x14ac:dyDescent="0.25">
      <c r="C1444" s="784"/>
    </row>
    <row r="1445" spans="3:3" x14ac:dyDescent="0.25">
      <c r="C1445" s="784"/>
    </row>
    <row r="1446" spans="3:3" x14ac:dyDescent="0.25">
      <c r="C1446" s="784"/>
    </row>
    <row r="1447" spans="3:3" x14ac:dyDescent="0.25">
      <c r="C1447" s="784"/>
    </row>
    <row r="1448" spans="3:3" x14ac:dyDescent="0.25">
      <c r="C1448" s="784"/>
    </row>
    <row r="1449" spans="3:3" x14ac:dyDescent="0.25">
      <c r="C1449" s="784"/>
    </row>
    <row r="1450" spans="3:3" x14ac:dyDescent="0.25">
      <c r="C1450" s="784"/>
    </row>
    <row r="1451" spans="3:3" x14ac:dyDescent="0.25">
      <c r="C1451" s="784"/>
    </row>
    <row r="1452" spans="3:3" x14ac:dyDescent="0.25">
      <c r="C1452" s="784"/>
    </row>
    <row r="1453" spans="3:3" x14ac:dyDescent="0.25">
      <c r="C1453" s="784"/>
    </row>
    <row r="1454" spans="3:3" x14ac:dyDescent="0.25">
      <c r="C1454" s="784"/>
    </row>
    <row r="1455" spans="3:3" x14ac:dyDescent="0.25">
      <c r="C1455" s="784"/>
    </row>
    <row r="1456" spans="3:3" x14ac:dyDescent="0.25">
      <c r="C1456" s="784"/>
    </row>
    <row r="1457" spans="3:3" x14ac:dyDescent="0.25">
      <c r="C1457" s="784"/>
    </row>
    <row r="1458" spans="3:3" x14ac:dyDescent="0.25">
      <c r="C1458" s="784"/>
    </row>
    <row r="1459" spans="3:3" x14ac:dyDescent="0.25">
      <c r="C1459" s="784"/>
    </row>
    <row r="1460" spans="3:3" x14ac:dyDescent="0.25">
      <c r="C1460" s="784"/>
    </row>
    <row r="1461" spans="3:3" x14ac:dyDescent="0.25">
      <c r="C1461" s="784"/>
    </row>
    <row r="1462" spans="3:3" x14ac:dyDescent="0.25">
      <c r="C1462" s="784"/>
    </row>
    <row r="1463" spans="3:3" x14ac:dyDescent="0.25">
      <c r="C1463" s="784"/>
    </row>
    <row r="1464" spans="3:3" x14ac:dyDescent="0.25">
      <c r="C1464" s="784"/>
    </row>
    <row r="1465" spans="3:3" x14ac:dyDescent="0.25">
      <c r="C1465" s="784"/>
    </row>
    <row r="1466" spans="3:3" x14ac:dyDescent="0.25">
      <c r="C1466" s="784"/>
    </row>
    <row r="1467" spans="3:3" x14ac:dyDescent="0.25">
      <c r="C1467" s="784"/>
    </row>
    <row r="1468" spans="3:3" x14ac:dyDescent="0.25">
      <c r="C1468" s="784"/>
    </row>
    <row r="1469" spans="3:3" x14ac:dyDescent="0.25">
      <c r="C1469" s="784"/>
    </row>
    <row r="1470" spans="3:3" x14ac:dyDescent="0.25">
      <c r="C1470" s="784"/>
    </row>
    <row r="1471" spans="3:3" x14ac:dyDescent="0.25">
      <c r="C1471" s="784"/>
    </row>
    <row r="1472" spans="3:3" x14ac:dyDescent="0.25">
      <c r="C1472" s="784"/>
    </row>
    <row r="1473" spans="3:3" x14ac:dyDescent="0.25">
      <c r="C1473" s="784"/>
    </row>
    <row r="1474" spans="3:3" x14ac:dyDescent="0.25">
      <c r="C1474" s="784"/>
    </row>
    <row r="1475" spans="3:3" x14ac:dyDescent="0.25">
      <c r="C1475" s="784"/>
    </row>
    <row r="1476" spans="3:3" x14ac:dyDescent="0.25">
      <c r="C1476" s="784"/>
    </row>
    <row r="1477" spans="3:3" x14ac:dyDescent="0.25">
      <c r="C1477" s="784"/>
    </row>
    <row r="1478" spans="3:3" x14ac:dyDescent="0.25">
      <c r="C1478" s="784"/>
    </row>
    <row r="1479" spans="3:3" x14ac:dyDescent="0.25">
      <c r="C1479" s="784"/>
    </row>
    <row r="1480" spans="3:3" x14ac:dyDescent="0.25">
      <c r="C1480" s="784"/>
    </row>
    <row r="1481" spans="3:3" x14ac:dyDescent="0.25">
      <c r="C1481" s="784"/>
    </row>
    <row r="1482" spans="3:3" x14ac:dyDescent="0.25">
      <c r="C1482" s="784"/>
    </row>
    <row r="1483" spans="3:3" x14ac:dyDescent="0.25">
      <c r="C1483" s="784"/>
    </row>
    <row r="1484" spans="3:3" x14ac:dyDescent="0.25">
      <c r="C1484" s="784"/>
    </row>
    <row r="1485" spans="3:3" x14ac:dyDescent="0.25">
      <c r="C1485" s="784"/>
    </row>
    <row r="1486" spans="3:3" x14ac:dyDescent="0.25">
      <c r="C1486" s="784"/>
    </row>
    <row r="1487" spans="3:3" x14ac:dyDescent="0.25">
      <c r="C1487" s="784"/>
    </row>
    <row r="1488" spans="3:3" x14ac:dyDescent="0.25">
      <c r="C1488" s="784"/>
    </row>
    <row r="1489" spans="3:3" x14ac:dyDescent="0.25">
      <c r="C1489" s="784"/>
    </row>
    <row r="1490" spans="3:3" x14ac:dyDescent="0.25">
      <c r="C1490" s="784"/>
    </row>
    <row r="1491" spans="3:3" x14ac:dyDescent="0.25">
      <c r="C1491" s="784"/>
    </row>
    <row r="1492" spans="3:3" x14ac:dyDescent="0.25">
      <c r="C1492" s="784"/>
    </row>
    <row r="1493" spans="3:3" x14ac:dyDescent="0.25">
      <c r="C1493" s="784"/>
    </row>
    <row r="1494" spans="3:3" x14ac:dyDescent="0.25">
      <c r="C1494" s="784"/>
    </row>
    <row r="1495" spans="3:3" x14ac:dyDescent="0.25">
      <c r="C1495" s="784"/>
    </row>
    <row r="1496" spans="3:3" x14ac:dyDescent="0.25">
      <c r="C1496" s="784"/>
    </row>
    <row r="1497" spans="3:3" x14ac:dyDescent="0.25">
      <c r="C1497" s="784"/>
    </row>
    <row r="1498" spans="3:3" x14ac:dyDescent="0.25">
      <c r="C1498" s="784"/>
    </row>
    <row r="1499" spans="3:3" x14ac:dyDescent="0.25">
      <c r="C1499" s="784"/>
    </row>
    <row r="1500" spans="3:3" x14ac:dyDescent="0.25">
      <c r="C1500" s="784"/>
    </row>
    <row r="1501" spans="3:3" x14ac:dyDescent="0.25">
      <c r="C1501" s="784"/>
    </row>
    <row r="1502" spans="3:3" x14ac:dyDescent="0.25">
      <c r="C1502" s="784"/>
    </row>
    <row r="1503" spans="3:3" x14ac:dyDescent="0.25">
      <c r="C1503" s="784"/>
    </row>
    <row r="1504" spans="3:3" x14ac:dyDescent="0.25">
      <c r="C1504" s="784"/>
    </row>
    <row r="1505" spans="3:3" x14ac:dyDescent="0.25">
      <c r="C1505" s="784"/>
    </row>
    <row r="1506" spans="3:3" x14ac:dyDescent="0.25">
      <c r="C1506" s="784"/>
    </row>
    <row r="1507" spans="3:3" x14ac:dyDescent="0.25">
      <c r="C1507" s="784"/>
    </row>
    <row r="1508" spans="3:3" x14ac:dyDescent="0.25">
      <c r="C1508" s="784"/>
    </row>
    <row r="1509" spans="3:3" x14ac:dyDescent="0.25">
      <c r="C1509" s="784"/>
    </row>
    <row r="1510" spans="3:3" x14ac:dyDescent="0.25">
      <c r="C1510" s="784"/>
    </row>
    <row r="1511" spans="3:3" x14ac:dyDescent="0.25">
      <c r="C1511" s="784"/>
    </row>
    <row r="1512" spans="3:3" x14ac:dyDescent="0.25">
      <c r="C1512" s="784"/>
    </row>
    <row r="1513" spans="3:3" x14ac:dyDescent="0.25">
      <c r="C1513" s="784"/>
    </row>
    <row r="1514" spans="3:3" x14ac:dyDescent="0.25">
      <c r="C1514" s="784"/>
    </row>
    <row r="1515" spans="3:3" x14ac:dyDescent="0.25">
      <c r="C1515" s="784"/>
    </row>
    <row r="1516" spans="3:3" x14ac:dyDescent="0.25">
      <c r="C1516" s="784"/>
    </row>
    <row r="1517" spans="3:3" x14ac:dyDescent="0.25">
      <c r="C1517" s="784"/>
    </row>
    <row r="1518" spans="3:3" x14ac:dyDescent="0.25">
      <c r="C1518" s="784"/>
    </row>
    <row r="1519" spans="3:3" x14ac:dyDescent="0.25">
      <c r="C1519" s="784"/>
    </row>
    <row r="1520" spans="3:3" x14ac:dyDescent="0.25">
      <c r="C1520" s="784"/>
    </row>
    <row r="1521" spans="3:3" x14ac:dyDescent="0.25">
      <c r="C1521" s="784"/>
    </row>
    <row r="1522" spans="3:3" x14ac:dyDescent="0.25">
      <c r="C1522" s="784"/>
    </row>
    <row r="1523" spans="3:3" x14ac:dyDescent="0.25">
      <c r="C1523" s="784"/>
    </row>
    <row r="1524" spans="3:3" x14ac:dyDescent="0.25">
      <c r="C1524" s="784"/>
    </row>
    <row r="1525" spans="3:3" x14ac:dyDescent="0.25">
      <c r="C1525" s="784"/>
    </row>
    <row r="1526" spans="3:3" x14ac:dyDescent="0.25">
      <c r="C1526" s="784"/>
    </row>
    <row r="1527" spans="3:3" x14ac:dyDescent="0.25">
      <c r="C1527" s="784"/>
    </row>
    <row r="1528" spans="3:3" x14ac:dyDescent="0.25">
      <c r="C1528" s="784"/>
    </row>
    <row r="1529" spans="3:3" x14ac:dyDescent="0.25">
      <c r="C1529" s="784"/>
    </row>
    <row r="1530" spans="3:3" x14ac:dyDescent="0.25">
      <c r="C1530" s="784"/>
    </row>
    <row r="1531" spans="3:3" x14ac:dyDescent="0.25">
      <c r="C1531" s="784"/>
    </row>
    <row r="1532" spans="3:3" x14ac:dyDescent="0.25">
      <c r="C1532" s="784"/>
    </row>
    <row r="1533" spans="3:3" x14ac:dyDescent="0.25">
      <c r="C1533" s="784"/>
    </row>
    <row r="1534" spans="3:3" x14ac:dyDescent="0.25">
      <c r="C1534" s="784"/>
    </row>
    <row r="1535" spans="3:3" x14ac:dyDescent="0.25">
      <c r="C1535" s="784"/>
    </row>
    <row r="1536" spans="3:3" x14ac:dyDescent="0.25">
      <c r="C1536" s="784"/>
    </row>
    <row r="1537" spans="3:3" x14ac:dyDescent="0.25">
      <c r="C1537" s="784"/>
    </row>
    <row r="1538" spans="3:3" x14ac:dyDescent="0.25">
      <c r="C1538" s="784"/>
    </row>
    <row r="1539" spans="3:3" x14ac:dyDescent="0.25">
      <c r="C1539" s="784"/>
    </row>
    <row r="1540" spans="3:3" x14ac:dyDescent="0.25">
      <c r="C1540" s="784"/>
    </row>
    <row r="1541" spans="3:3" x14ac:dyDescent="0.25">
      <c r="C1541" s="784"/>
    </row>
    <row r="1542" spans="3:3" x14ac:dyDescent="0.25">
      <c r="C1542" s="784"/>
    </row>
    <row r="1543" spans="3:3" x14ac:dyDescent="0.25">
      <c r="C1543" s="784"/>
    </row>
    <row r="1544" spans="3:3" x14ac:dyDescent="0.25">
      <c r="C1544" s="784"/>
    </row>
    <row r="1545" spans="3:3" x14ac:dyDescent="0.25">
      <c r="C1545" s="784"/>
    </row>
    <row r="1546" spans="3:3" x14ac:dyDescent="0.25">
      <c r="C1546" s="784"/>
    </row>
    <row r="1547" spans="3:3" x14ac:dyDescent="0.25">
      <c r="C1547" s="784"/>
    </row>
    <row r="1548" spans="3:3" x14ac:dyDescent="0.25">
      <c r="C1548" s="784"/>
    </row>
    <row r="1549" spans="3:3" x14ac:dyDescent="0.25">
      <c r="C1549" s="784"/>
    </row>
    <row r="1550" spans="3:3" x14ac:dyDescent="0.25">
      <c r="C1550" s="784"/>
    </row>
    <row r="1551" spans="3:3" x14ac:dyDescent="0.25">
      <c r="C1551" s="784"/>
    </row>
    <row r="1552" spans="3:3" x14ac:dyDescent="0.25">
      <c r="C1552" s="784"/>
    </row>
    <row r="1553" spans="3:3" x14ac:dyDescent="0.25">
      <c r="C1553" s="784"/>
    </row>
    <row r="1554" spans="3:3" x14ac:dyDescent="0.25">
      <c r="C1554" s="784"/>
    </row>
    <row r="1555" spans="3:3" x14ac:dyDescent="0.25">
      <c r="C1555" s="784"/>
    </row>
    <row r="1556" spans="3:3" x14ac:dyDescent="0.25">
      <c r="C1556" s="784"/>
    </row>
    <row r="1557" spans="3:3" x14ac:dyDescent="0.25">
      <c r="C1557" s="784"/>
    </row>
    <row r="1558" spans="3:3" x14ac:dyDescent="0.25">
      <c r="C1558" s="784"/>
    </row>
    <row r="1559" spans="3:3" x14ac:dyDescent="0.25">
      <c r="C1559" s="784"/>
    </row>
    <row r="1560" spans="3:3" x14ac:dyDescent="0.25">
      <c r="C1560" s="784"/>
    </row>
    <row r="1561" spans="3:3" x14ac:dyDescent="0.25">
      <c r="C1561" s="784"/>
    </row>
    <row r="1562" spans="3:3" x14ac:dyDescent="0.25">
      <c r="C1562" s="784"/>
    </row>
    <row r="1563" spans="3:3" x14ac:dyDescent="0.25">
      <c r="C1563" s="784"/>
    </row>
    <row r="1564" spans="3:3" x14ac:dyDescent="0.25">
      <c r="C1564" s="784"/>
    </row>
    <row r="1565" spans="3:3" x14ac:dyDescent="0.25">
      <c r="C1565" s="784"/>
    </row>
    <row r="1566" spans="3:3" x14ac:dyDescent="0.25">
      <c r="C1566" s="784"/>
    </row>
    <row r="1567" spans="3:3" x14ac:dyDescent="0.25">
      <c r="C1567" s="784"/>
    </row>
    <row r="1568" spans="3:3" x14ac:dyDescent="0.25">
      <c r="C1568" s="784"/>
    </row>
    <row r="1569" spans="3:3" x14ac:dyDescent="0.25">
      <c r="C1569" s="784"/>
    </row>
    <row r="1570" spans="3:3" x14ac:dyDescent="0.25">
      <c r="C1570" s="784"/>
    </row>
    <row r="1571" spans="3:3" x14ac:dyDescent="0.25">
      <c r="C1571" s="784"/>
    </row>
    <row r="1572" spans="3:3" x14ac:dyDescent="0.25">
      <c r="C1572" s="784"/>
    </row>
    <row r="1573" spans="3:3" x14ac:dyDescent="0.25">
      <c r="C1573" s="784"/>
    </row>
    <row r="1574" spans="3:3" x14ac:dyDescent="0.25">
      <c r="C1574" s="784"/>
    </row>
    <row r="1575" spans="3:3" x14ac:dyDescent="0.25">
      <c r="C1575" s="784"/>
    </row>
    <row r="1576" spans="3:3" x14ac:dyDescent="0.25">
      <c r="C1576" s="784"/>
    </row>
    <row r="1577" spans="3:3" x14ac:dyDescent="0.25">
      <c r="C1577" s="784"/>
    </row>
    <row r="1578" spans="3:3" x14ac:dyDescent="0.25">
      <c r="C1578" s="784"/>
    </row>
    <row r="1579" spans="3:3" x14ac:dyDescent="0.25">
      <c r="C1579" s="784"/>
    </row>
    <row r="1580" spans="3:3" x14ac:dyDescent="0.25">
      <c r="C1580" s="784"/>
    </row>
    <row r="1581" spans="3:3" x14ac:dyDescent="0.25">
      <c r="C1581" s="784"/>
    </row>
    <row r="1582" spans="3:3" x14ac:dyDescent="0.25">
      <c r="C1582" s="784"/>
    </row>
    <row r="1583" spans="3:3" x14ac:dyDescent="0.25">
      <c r="C1583" s="784"/>
    </row>
    <row r="1584" spans="3:3" x14ac:dyDescent="0.25">
      <c r="C1584" s="784"/>
    </row>
    <row r="1585" spans="3:3" x14ac:dyDescent="0.25">
      <c r="C1585" s="784"/>
    </row>
    <row r="1586" spans="3:3" x14ac:dyDescent="0.25">
      <c r="C1586" s="784"/>
    </row>
    <row r="1587" spans="3:3" x14ac:dyDescent="0.25">
      <c r="C1587" s="784"/>
    </row>
    <row r="1588" spans="3:3" x14ac:dyDescent="0.25">
      <c r="C1588" s="784"/>
    </row>
    <row r="1589" spans="3:3" x14ac:dyDescent="0.25">
      <c r="C1589" s="784"/>
    </row>
    <row r="1590" spans="3:3" x14ac:dyDescent="0.25">
      <c r="C1590" s="784"/>
    </row>
    <row r="1591" spans="3:3" x14ac:dyDescent="0.25">
      <c r="C1591" s="784"/>
    </row>
    <row r="1592" spans="3:3" x14ac:dyDescent="0.25">
      <c r="C1592" s="784"/>
    </row>
    <row r="1593" spans="3:3" x14ac:dyDescent="0.25">
      <c r="C1593" s="784"/>
    </row>
    <row r="1594" spans="3:3" x14ac:dyDescent="0.25">
      <c r="C1594" s="784"/>
    </row>
    <row r="1595" spans="3:3" x14ac:dyDescent="0.25">
      <c r="C1595" s="784"/>
    </row>
    <row r="1596" spans="3:3" x14ac:dyDescent="0.25">
      <c r="C1596" s="784"/>
    </row>
    <row r="1597" spans="3:3" x14ac:dyDescent="0.25">
      <c r="C1597" s="784"/>
    </row>
    <row r="1598" spans="3:3" x14ac:dyDescent="0.25">
      <c r="C1598" s="784"/>
    </row>
    <row r="1599" spans="3:3" x14ac:dyDescent="0.25">
      <c r="C1599" s="784"/>
    </row>
    <row r="1600" spans="3:3" x14ac:dyDescent="0.25">
      <c r="C1600" s="784"/>
    </row>
    <row r="1601" spans="3:3" x14ac:dyDescent="0.25">
      <c r="C1601" s="784"/>
    </row>
    <row r="1602" spans="3:3" x14ac:dyDescent="0.25">
      <c r="C1602" s="784"/>
    </row>
    <row r="1603" spans="3:3" x14ac:dyDescent="0.25">
      <c r="C1603" s="784"/>
    </row>
    <row r="1604" spans="3:3" x14ac:dyDescent="0.25">
      <c r="C1604" s="784"/>
    </row>
    <row r="1605" spans="3:3" x14ac:dyDescent="0.25">
      <c r="C1605" s="784"/>
    </row>
    <row r="1606" spans="3:3" x14ac:dyDescent="0.25">
      <c r="C1606" s="784"/>
    </row>
    <row r="1607" spans="3:3" x14ac:dyDescent="0.25">
      <c r="C1607" s="784"/>
    </row>
    <row r="1608" spans="3:3" x14ac:dyDescent="0.25">
      <c r="C1608" s="784"/>
    </row>
    <row r="1609" spans="3:3" x14ac:dyDescent="0.25">
      <c r="C1609" s="784"/>
    </row>
    <row r="1610" spans="3:3" x14ac:dyDescent="0.25">
      <c r="C1610" s="784"/>
    </row>
    <row r="1611" spans="3:3" x14ac:dyDescent="0.25">
      <c r="C1611" s="784"/>
    </row>
    <row r="1612" spans="3:3" x14ac:dyDescent="0.25">
      <c r="C1612" s="784"/>
    </row>
    <row r="1613" spans="3:3" x14ac:dyDescent="0.25">
      <c r="C1613" s="784"/>
    </row>
    <row r="1614" spans="3:3" x14ac:dyDescent="0.25">
      <c r="C1614" s="784"/>
    </row>
    <row r="1615" spans="3:3" x14ac:dyDescent="0.25">
      <c r="C1615" s="784"/>
    </row>
    <row r="1616" spans="3:3" x14ac:dyDescent="0.25">
      <c r="C1616" s="784"/>
    </row>
    <row r="1617" spans="3:3" x14ac:dyDescent="0.25">
      <c r="C1617" s="784"/>
    </row>
    <row r="1618" spans="3:3" x14ac:dyDescent="0.25">
      <c r="C1618" s="784"/>
    </row>
    <row r="1619" spans="3:3" x14ac:dyDescent="0.25">
      <c r="C1619" s="784"/>
    </row>
    <row r="1620" spans="3:3" x14ac:dyDescent="0.25">
      <c r="C1620" s="784"/>
    </row>
    <row r="1621" spans="3:3" x14ac:dyDescent="0.25">
      <c r="C1621" s="784"/>
    </row>
    <row r="1622" spans="3:3" x14ac:dyDescent="0.25">
      <c r="C1622" s="784"/>
    </row>
    <row r="1623" spans="3:3" x14ac:dyDescent="0.25">
      <c r="C1623" s="784"/>
    </row>
    <row r="1624" spans="3:3" x14ac:dyDescent="0.25">
      <c r="C1624" s="784"/>
    </row>
    <row r="1625" spans="3:3" x14ac:dyDescent="0.25">
      <c r="C1625" s="784"/>
    </row>
    <row r="1626" spans="3:3" x14ac:dyDescent="0.25">
      <c r="C1626" s="784"/>
    </row>
    <row r="1627" spans="3:3" x14ac:dyDescent="0.25">
      <c r="C1627" s="784"/>
    </row>
    <row r="1628" spans="3:3" x14ac:dyDescent="0.25">
      <c r="C1628" s="784"/>
    </row>
    <row r="1629" spans="3:3" x14ac:dyDescent="0.25">
      <c r="C1629" s="784"/>
    </row>
    <row r="1630" spans="3:3" x14ac:dyDescent="0.25">
      <c r="C1630" s="784"/>
    </row>
    <row r="1631" spans="3:3" x14ac:dyDescent="0.25">
      <c r="C1631" s="784"/>
    </row>
    <row r="1632" spans="3:3" x14ac:dyDescent="0.25">
      <c r="C1632" s="784"/>
    </row>
    <row r="1633" spans="3:3" x14ac:dyDescent="0.25">
      <c r="C1633" s="784"/>
    </row>
    <row r="1634" spans="3:3" x14ac:dyDescent="0.25">
      <c r="C1634" s="784"/>
    </row>
    <row r="1635" spans="3:3" x14ac:dyDescent="0.25">
      <c r="C1635" s="784"/>
    </row>
    <row r="1636" spans="3:3" x14ac:dyDescent="0.25">
      <c r="C1636" s="784"/>
    </row>
    <row r="1637" spans="3:3" x14ac:dyDescent="0.25">
      <c r="C1637" s="784"/>
    </row>
    <row r="1638" spans="3:3" x14ac:dyDescent="0.25">
      <c r="C1638" s="784"/>
    </row>
    <row r="1639" spans="3:3" x14ac:dyDescent="0.25">
      <c r="C1639" s="784"/>
    </row>
    <row r="1640" spans="3:3" x14ac:dyDescent="0.25">
      <c r="C1640" s="784"/>
    </row>
    <row r="1641" spans="3:3" x14ac:dyDescent="0.25">
      <c r="C1641" s="784"/>
    </row>
    <row r="1642" spans="3:3" x14ac:dyDescent="0.25">
      <c r="C1642" s="784"/>
    </row>
    <row r="1643" spans="3:3" x14ac:dyDescent="0.25">
      <c r="C1643" s="784"/>
    </row>
    <row r="1644" spans="3:3" x14ac:dyDescent="0.25">
      <c r="C1644" s="784"/>
    </row>
    <row r="1645" spans="3:3" x14ac:dyDescent="0.25">
      <c r="C1645" s="784"/>
    </row>
    <row r="1646" spans="3:3" x14ac:dyDescent="0.25">
      <c r="C1646" s="784"/>
    </row>
    <row r="1647" spans="3:3" x14ac:dyDescent="0.25">
      <c r="C1647" s="784"/>
    </row>
    <row r="1648" spans="3:3" x14ac:dyDescent="0.25">
      <c r="C1648" s="784"/>
    </row>
    <row r="1649" spans="3:3" x14ac:dyDescent="0.25">
      <c r="C1649" s="784"/>
    </row>
    <row r="1650" spans="3:3" x14ac:dyDescent="0.25">
      <c r="C1650" s="784"/>
    </row>
    <row r="1651" spans="3:3" x14ac:dyDescent="0.25">
      <c r="C1651" s="784"/>
    </row>
    <row r="1652" spans="3:3" x14ac:dyDescent="0.25">
      <c r="C1652" s="784"/>
    </row>
    <row r="1653" spans="3:3" x14ac:dyDescent="0.25">
      <c r="C1653" s="784"/>
    </row>
    <row r="1654" spans="3:3" x14ac:dyDescent="0.25">
      <c r="C1654" s="784"/>
    </row>
    <row r="1655" spans="3:3" x14ac:dyDescent="0.25">
      <c r="C1655" s="784"/>
    </row>
    <row r="1656" spans="3:3" x14ac:dyDescent="0.25">
      <c r="C1656" s="784"/>
    </row>
    <row r="1657" spans="3:3" x14ac:dyDescent="0.25">
      <c r="C1657" s="784"/>
    </row>
    <row r="1658" spans="3:3" x14ac:dyDescent="0.25">
      <c r="C1658" s="784"/>
    </row>
    <row r="1659" spans="3:3" x14ac:dyDescent="0.25">
      <c r="C1659" s="784"/>
    </row>
    <row r="1660" spans="3:3" x14ac:dyDescent="0.25">
      <c r="C1660" s="784"/>
    </row>
    <row r="1661" spans="3:3" x14ac:dyDescent="0.25">
      <c r="C1661" s="784"/>
    </row>
    <row r="1662" spans="3:3" x14ac:dyDescent="0.25">
      <c r="C1662" s="784"/>
    </row>
    <row r="1663" spans="3:3" x14ac:dyDescent="0.25">
      <c r="C1663" s="784"/>
    </row>
    <row r="1664" spans="3:3" x14ac:dyDescent="0.25">
      <c r="C1664" s="784"/>
    </row>
    <row r="1665" spans="3:3" x14ac:dyDescent="0.25">
      <c r="C1665" s="784"/>
    </row>
    <row r="1666" spans="3:3" x14ac:dyDescent="0.25">
      <c r="C1666" s="784"/>
    </row>
    <row r="1667" spans="3:3" x14ac:dyDescent="0.25">
      <c r="C1667" s="784"/>
    </row>
    <row r="1668" spans="3:3" x14ac:dyDescent="0.25">
      <c r="C1668" s="784"/>
    </row>
    <row r="1669" spans="3:3" x14ac:dyDescent="0.25">
      <c r="C1669" s="784"/>
    </row>
    <row r="1670" spans="3:3" x14ac:dyDescent="0.25">
      <c r="C1670" s="784"/>
    </row>
    <row r="1671" spans="3:3" x14ac:dyDescent="0.25">
      <c r="C1671" s="784"/>
    </row>
    <row r="1672" spans="3:3" x14ac:dyDescent="0.25">
      <c r="C1672" s="784"/>
    </row>
    <row r="1673" spans="3:3" x14ac:dyDescent="0.25">
      <c r="C1673" s="784"/>
    </row>
    <row r="1674" spans="3:3" x14ac:dyDescent="0.25">
      <c r="C1674" s="784"/>
    </row>
    <row r="1675" spans="3:3" x14ac:dyDescent="0.25">
      <c r="C1675" s="784"/>
    </row>
    <row r="1676" spans="3:3" x14ac:dyDescent="0.25">
      <c r="C1676" s="784"/>
    </row>
    <row r="1677" spans="3:3" x14ac:dyDescent="0.25">
      <c r="C1677" s="784"/>
    </row>
    <row r="1678" spans="3:3" x14ac:dyDescent="0.25">
      <c r="C1678" s="784"/>
    </row>
    <row r="1679" spans="3:3" x14ac:dyDescent="0.25">
      <c r="C1679" s="784"/>
    </row>
    <row r="1680" spans="3:3" x14ac:dyDescent="0.25">
      <c r="C1680" s="784"/>
    </row>
    <row r="1681" spans="3:3" x14ac:dyDescent="0.25">
      <c r="C1681" s="784"/>
    </row>
    <row r="1682" spans="3:3" x14ac:dyDescent="0.25">
      <c r="C1682" s="784"/>
    </row>
    <row r="1683" spans="3:3" x14ac:dyDescent="0.25">
      <c r="C1683" s="784"/>
    </row>
    <row r="1684" spans="3:3" x14ac:dyDescent="0.25">
      <c r="C1684" s="784"/>
    </row>
    <row r="1685" spans="3:3" x14ac:dyDescent="0.25">
      <c r="C1685" s="784"/>
    </row>
    <row r="1686" spans="3:3" x14ac:dyDescent="0.25">
      <c r="C1686" s="784"/>
    </row>
    <row r="1687" spans="3:3" x14ac:dyDescent="0.25">
      <c r="C1687" s="784"/>
    </row>
    <row r="1688" spans="3:3" x14ac:dyDescent="0.25">
      <c r="C1688" s="784"/>
    </row>
    <row r="1689" spans="3:3" x14ac:dyDescent="0.25">
      <c r="C1689" s="784"/>
    </row>
    <row r="1690" spans="3:3" x14ac:dyDescent="0.25">
      <c r="C1690" s="784"/>
    </row>
    <row r="1691" spans="3:3" x14ac:dyDescent="0.25">
      <c r="C1691" s="784"/>
    </row>
    <row r="1692" spans="3:3" x14ac:dyDescent="0.25">
      <c r="C1692" s="784"/>
    </row>
    <row r="1693" spans="3:3" x14ac:dyDescent="0.25">
      <c r="C1693" s="784"/>
    </row>
    <row r="1694" spans="3:3" x14ac:dyDescent="0.25">
      <c r="C1694" s="784"/>
    </row>
    <row r="1695" spans="3:3" x14ac:dyDescent="0.25">
      <c r="C1695" s="784"/>
    </row>
    <row r="1696" spans="3:3" x14ac:dyDescent="0.25">
      <c r="C1696" s="784"/>
    </row>
    <row r="1697" spans="3:3" x14ac:dyDescent="0.25">
      <c r="C1697" s="784"/>
    </row>
    <row r="1698" spans="3:3" x14ac:dyDescent="0.25">
      <c r="C1698" s="784"/>
    </row>
    <row r="1699" spans="3:3" x14ac:dyDescent="0.25">
      <c r="C1699" s="784"/>
    </row>
    <row r="1700" spans="3:3" x14ac:dyDescent="0.25">
      <c r="C1700" s="784"/>
    </row>
    <row r="1701" spans="3:3" x14ac:dyDescent="0.25">
      <c r="C1701" s="784"/>
    </row>
    <row r="1702" spans="3:3" x14ac:dyDescent="0.25">
      <c r="C1702" s="784"/>
    </row>
    <row r="1703" spans="3:3" x14ac:dyDescent="0.25">
      <c r="C1703" s="784"/>
    </row>
    <row r="1704" spans="3:3" x14ac:dyDescent="0.25">
      <c r="C1704" s="784"/>
    </row>
    <row r="1705" spans="3:3" x14ac:dyDescent="0.25">
      <c r="C1705" s="784"/>
    </row>
    <row r="1706" spans="3:3" x14ac:dyDescent="0.25">
      <c r="C1706" s="784"/>
    </row>
    <row r="1707" spans="3:3" x14ac:dyDescent="0.25">
      <c r="C1707" s="784"/>
    </row>
    <row r="1708" spans="3:3" x14ac:dyDescent="0.25">
      <c r="C1708" s="784"/>
    </row>
    <row r="1709" spans="3:3" x14ac:dyDescent="0.25">
      <c r="C1709" s="784"/>
    </row>
    <row r="1710" spans="3:3" x14ac:dyDescent="0.25">
      <c r="C1710" s="784"/>
    </row>
    <row r="1711" spans="3:3" x14ac:dyDescent="0.25">
      <c r="C1711" s="784"/>
    </row>
    <row r="1712" spans="3:3" x14ac:dyDescent="0.25">
      <c r="C1712" s="784"/>
    </row>
    <row r="1713" spans="3:3" x14ac:dyDescent="0.25">
      <c r="C1713" s="784"/>
    </row>
    <row r="1714" spans="3:3" x14ac:dyDescent="0.25">
      <c r="C1714" s="784"/>
    </row>
    <row r="1715" spans="3:3" x14ac:dyDescent="0.25">
      <c r="C1715" s="784"/>
    </row>
    <row r="1716" spans="3:3" x14ac:dyDescent="0.25">
      <c r="C1716" s="784"/>
    </row>
    <row r="1717" spans="3:3" x14ac:dyDescent="0.25">
      <c r="C1717" s="784"/>
    </row>
    <row r="1718" spans="3:3" x14ac:dyDescent="0.25">
      <c r="C1718" s="784"/>
    </row>
    <row r="1719" spans="3:3" x14ac:dyDescent="0.25">
      <c r="C1719" s="784"/>
    </row>
    <row r="1720" spans="3:3" x14ac:dyDescent="0.25">
      <c r="C1720" s="784"/>
    </row>
    <row r="1721" spans="3:3" x14ac:dyDescent="0.25">
      <c r="C1721" s="784"/>
    </row>
    <row r="1722" spans="3:3" x14ac:dyDescent="0.25">
      <c r="C1722" s="784"/>
    </row>
    <row r="1723" spans="3:3" x14ac:dyDescent="0.25">
      <c r="C1723" s="784"/>
    </row>
    <row r="1724" spans="3:3" x14ac:dyDescent="0.25">
      <c r="C1724" s="784"/>
    </row>
    <row r="1725" spans="3:3" x14ac:dyDescent="0.25">
      <c r="C1725" s="784"/>
    </row>
    <row r="1726" spans="3:3" x14ac:dyDescent="0.25">
      <c r="C1726" s="784"/>
    </row>
    <row r="1727" spans="3:3" x14ac:dyDescent="0.25">
      <c r="C1727" s="784"/>
    </row>
    <row r="1728" spans="3:3" x14ac:dyDescent="0.25">
      <c r="C1728" s="784"/>
    </row>
    <row r="1729" spans="3:3" x14ac:dyDescent="0.25">
      <c r="C1729" s="784"/>
    </row>
    <row r="1730" spans="3:3" x14ac:dyDescent="0.25">
      <c r="C1730" s="784"/>
    </row>
    <row r="1731" spans="3:3" x14ac:dyDescent="0.25">
      <c r="C1731" s="784"/>
    </row>
    <row r="1732" spans="3:3" x14ac:dyDescent="0.25">
      <c r="C1732" s="784"/>
    </row>
    <row r="1733" spans="3:3" x14ac:dyDescent="0.25">
      <c r="C1733" s="784"/>
    </row>
    <row r="1734" spans="3:3" x14ac:dyDescent="0.25">
      <c r="C1734" s="784"/>
    </row>
    <row r="1735" spans="3:3" x14ac:dyDescent="0.25">
      <c r="C1735" s="784"/>
    </row>
    <row r="1736" spans="3:3" x14ac:dyDescent="0.25">
      <c r="C1736" s="784"/>
    </row>
    <row r="1737" spans="3:3" x14ac:dyDescent="0.25">
      <c r="C1737" s="784"/>
    </row>
    <row r="1738" spans="3:3" x14ac:dyDescent="0.25">
      <c r="C1738" s="784"/>
    </row>
    <row r="1739" spans="3:3" x14ac:dyDescent="0.25">
      <c r="C1739" s="784"/>
    </row>
    <row r="1740" spans="3:3" x14ac:dyDescent="0.25">
      <c r="C1740" s="784"/>
    </row>
    <row r="1741" spans="3:3" x14ac:dyDescent="0.25">
      <c r="C1741" s="784"/>
    </row>
    <row r="1742" spans="3:3" x14ac:dyDescent="0.25">
      <c r="C1742" s="784"/>
    </row>
    <row r="1743" spans="3:3" x14ac:dyDescent="0.25">
      <c r="C1743" s="784"/>
    </row>
    <row r="1744" spans="3:3" x14ac:dyDescent="0.25">
      <c r="C1744" s="784"/>
    </row>
    <row r="1745" spans="3:3" x14ac:dyDescent="0.25">
      <c r="C1745" s="784"/>
    </row>
    <row r="1746" spans="3:3" x14ac:dyDescent="0.25">
      <c r="C1746" s="784"/>
    </row>
    <row r="1747" spans="3:3" x14ac:dyDescent="0.25">
      <c r="C1747" s="784"/>
    </row>
    <row r="1748" spans="3:3" x14ac:dyDescent="0.25">
      <c r="C1748" s="784"/>
    </row>
    <row r="1749" spans="3:3" x14ac:dyDescent="0.25">
      <c r="C1749" s="784"/>
    </row>
    <row r="1750" spans="3:3" x14ac:dyDescent="0.25">
      <c r="C1750" s="784"/>
    </row>
    <row r="1751" spans="3:3" x14ac:dyDescent="0.25">
      <c r="C1751" s="784"/>
    </row>
    <row r="1752" spans="3:3" x14ac:dyDescent="0.25">
      <c r="C1752" s="784"/>
    </row>
    <row r="1753" spans="3:3" x14ac:dyDescent="0.25">
      <c r="C1753" s="784"/>
    </row>
    <row r="1754" spans="3:3" x14ac:dyDescent="0.25">
      <c r="C1754" s="784"/>
    </row>
    <row r="1755" spans="3:3" x14ac:dyDescent="0.25">
      <c r="C1755" s="784"/>
    </row>
    <row r="1756" spans="3:3" x14ac:dyDescent="0.25">
      <c r="C1756" s="784"/>
    </row>
    <row r="1757" spans="3:3" x14ac:dyDescent="0.25">
      <c r="C1757" s="784"/>
    </row>
    <row r="1758" spans="3:3" x14ac:dyDescent="0.25">
      <c r="C1758" s="784"/>
    </row>
    <row r="1759" spans="3:3" x14ac:dyDescent="0.25">
      <c r="C1759" s="784"/>
    </row>
    <row r="1760" spans="3:3" x14ac:dyDescent="0.25">
      <c r="C1760" s="784"/>
    </row>
    <row r="1761" spans="3:3" x14ac:dyDescent="0.25">
      <c r="C1761" s="784"/>
    </row>
    <row r="1762" spans="3:3" x14ac:dyDescent="0.25">
      <c r="C1762" s="784"/>
    </row>
    <row r="1763" spans="3:3" x14ac:dyDescent="0.25">
      <c r="C1763" s="784"/>
    </row>
    <row r="1764" spans="3:3" x14ac:dyDescent="0.25">
      <c r="C1764" s="784"/>
    </row>
    <row r="1765" spans="3:3" x14ac:dyDescent="0.25">
      <c r="C1765" s="784"/>
    </row>
    <row r="1766" spans="3:3" x14ac:dyDescent="0.25">
      <c r="C1766" s="784"/>
    </row>
    <row r="1767" spans="3:3" x14ac:dyDescent="0.25">
      <c r="C1767" s="784"/>
    </row>
    <row r="1768" spans="3:3" x14ac:dyDescent="0.25">
      <c r="C1768" s="784"/>
    </row>
    <row r="1769" spans="3:3" x14ac:dyDescent="0.25">
      <c r="C1769" s="784"/>
    </row>
    <row r="1770" spans="3:3" x14ac:dyDescent="0.25">
      <c r="C1770" s="784"/>
    </row>
    <row r="1771" spans="3:3" x14ac:dyDescent="0.25">
      <c r="C1771" s="784"/>
    </row>
    <row r="1772" spans="3:3" x14ac:dyDescent="0.25">
      <c r="C1772" s="784"/>
    </row>
    <row r="1773" spans="3:3" x14ac:dyDescent="0.25">
      <c r="C1773" s="784"/>
    </row>
    <row r="1774" spans="3:3" x14ac:dyDescent="0.25">
      <c r="C1774" s="784"/>
    </row>
    <row r="1775" spans="3:3" x14ac:dyDescent="0.25">
      <c r="C1775" s="784"/>
    </row>
    <row r="1776" spans="3:3" x14ac:dyDescent="0.25">
      <c r="C1776" s="784"/>
    </row>
    <row r="1777" spans="3:3" x14ac:dyDescent="0.25">
      <c r="C1777" s="784"/>
    </row>
    <row r="1778" spans="3:3" x14ac:dyDescent="0.25">
      <c r="C1778" s="784"/>
    </row>
    <row r="1779" spans="3:3" x14ac:dyDescent="0.25">
      <c r="C1779" s="784"/>
    </row>
    <row r="1780" spans="3:3" x14ac:dyDescent="0.25">
      <c r="C1780" s="784"/>
    </row>
    <row r="1781" spans="3:3" x14ac:dyDescent="0.25">
      <c r="C1781" s="784"/>
    </row>
    <row r="1782" spans="3:3" x14ac:dyDescent="0.25">
      <c r="C1782" s="784"/>
    </row>
    <row r="1783" spans="3:3" x14ac:dyDescent="0.25">
      <c r="C1783" s="784"/>
    </row>
    <row r="1784" spans="3:3" x14ac:dyDescent="0.25">
      <c r="C1784" s="784"/>
    </row>
    <row r="1785" spans="3:3" x14ac:dyDescent="0.25">
      <c r="C1785" s="784"/>
    </row>
    <row r="1786" spans="3:3" x14ac:dyDescent="0.25">
      <c r="C1786" s="784"/>
    </row>
    <row r="1787" spans="3:3" x14ac:dyDescent="0.25">
      <c r="C1787" s="784"/>
    </row>
    <row r="1788" spans="3:3" x14ac:dyDescent="0.25">
      <c r="C1788" s="784"/>
    </row>
    <row r="1789" spans="3:3" x14ac:dyDescent="0.25">
      <c r="C1789" s="784"/>
    </row>
    <row r="1790" spans="3:3" x14ac:dyDescent="0.25">
      <c r="C1790" s="784"/>
    </row>
    <row r="1791" spans="3:3" x14ac:dyDescent="0.25">
      <c r="C1791" s="784"/>
    </row>
    <row r="1792" spans="3:3" x14ac:dyDescent="0.25">
      <c r="C1792" s="784"/>
    </row>
    <row r="1793" spans="3:3" x14ac:dyDescent="0.25">
      <c r="C1793" s="784"/>
    </row>
    <row r="1794" spans="3:3" x14ac:dyDescent="0.25">
      <c r="C1794" s="784"/>
    </row>
    <row r="1795" spans="3:3" x14ac:dyDescent="0.25">
      <c r="C1795" s="784"/>
    </row>
    <row r="1796" spans="3:3" x14ac:dyDescent="0.25">
      <c r="C1796" s="784"/>
    </row>
    <row r="1797" spans="3:3" x14ac:dyDescent="0.25">
      <c r="C1797" s="784"/>
    </row>
    <row r="1798" spans="3:3" x14ac:dyDescent="0.25">
      <c r="C1798" s="784"/>
    </row>
    <row r="1799" spans="3:3" x14ac:dyDescent="0.25">
      <c r="C1799" s="784"/>
    </row>
    <row r="1800" spans="3:3" x14ac:dyDescent="0.25">
      <c r="C1800" s="784"/>
    </row>
    <row r="1801" spans="3:3" x14ac:dyDescent="0.25">
      <c r="C1801" s="784"/>
    </row>
    <row r="1802" spans="3:3" x14ac:dyDescent="0.25">
      <c r="C1802" s="784"/>
    </row>
    <row r="1803" spans="3:3" x14ac:dyDescent="0.25">
      <c r="C1803" s="784"/>
    </row>
    <row r="1804" spans="3:3" x14ac:dyDescent="0.25">
      <c r="C1804" s="784"/>
    </row>
    <row r="1805" spans="3:3" x14ac:dyDescent="0.25">
      <c r="C1805" s="784"/>
    </row>
    <row r="1806" spans="3:3" x14ac:dyDescent="0.25">
      <c r="C1806" s="784"/>
    </row>
    <row r="1807" spans="3:3" x14ac:dyDescent="0.25">
      <c r="C1807" s="784"/>
    </row>
    <row r="1808" spans="3:3" x14ac:dyDescent="0.25">
      <c r="C1808" s="784"/>
    </row>
    <row r="1809" spans="3:3" x14ac:dyDescent="0.25">
      <c r="C1809" s="784"/>
    </row>
    <row r="1810" spans="3:3" x14ac:dyDescent="0.25">
      <c r="C1810" s="784"/>
    </row>
    <row r="1811" spans="3:3" x14ac:dyDescent="0.25">
      <c r="C1811" s="784"/>
    </row>
    <row r="1812" spans="3:3" x14ac:dyDescent="0.25">
      <c r="C1812" s="784"/>
    </row>
    <row r="1813" spans="3:3" x14ac:dyDescent="0.25">
      <c r="C1813" s="784"/>
    </row>
    <row r="1814" spans="3:3" x14ac:dyDescent="0.25">
      <c r="C1814" s="784"/>
    </row>
    <row r="1815" spans="3:3" x14ac:dyDescent="0.25">
      <c r="C1815" s="784"/>
    </row>
    <row r="1816" spans="3:3" x14ac:dyDescent="0.25">
      <c r="C1816" s="784"/>
    </row>
    <row r="1817" spans="3:3" x14ac:dyDescent="0.25">
      <c r="C1817" s="784"/>
    </row>
    <row r="1818" spans="3:3" x14ac:dyDescent="0.25">
      <c r="C1818" s="784"/>
    </row>
    <row r="1819" spans="3:3" x14ac:dyDescent="0.25">
      <c r="C1819" s="784"/>
    </row>
    <row r="1820" spans="3:3" x14ac:dyDescent="0.25">
      <c r="C1820" s="784"/>
    </row>
    <row r="1821" spans="3:3" x14ac:dyDescent="0.25">
      <c r="C1821" s="784"/>
    </row>
    <row r="1822" spans="3:3" x14ac:dyDescent="0.25">
      <c r="C1822" s="784"/>
    </row>
    <row r="1823" spans="3:3" x14ac:dyDescent="0.25">
      <c r="C1823" s="784"/>
    </row>
    <row r="1824" spans="3:3" x14ac:dyDescent="0.25">
      <c r="C1824" s="784"/>
    </row>
    <row r="1825" spans="3:3" x14ac:dyDescent="0.25">
      <c r="C1825" s="784"/>
    </row>
    <row r="1826" spans="3:3" x14ac:dyDescent="0.25">
      <c r="C1826" s="784"/>
    </row>
    <row r="1827" spans="3:3" x14ac:dyDescent="0.25">
      <c r="C1827" s="784"/>
    </row>
    <row r="1828" spans="3:3" x14ac:dyDescent="0.25">
      <c r="C1828" s="784"/>
    </row>
    <row r="1829" spans="3:3" x14ac:dyDescent="0.25">
      <c r="C1829" s="784"/>
    </row>
    <row r="1830" spans="3:3" x14ac:dyDescent="0.25">
      <c r="C1830" s="784"/>
    </row>
    <row r="1831" spans="3:3" x14ac:dyDescent="0.25">
      <c r="C1831" s="784"/>
    </row>
    <row r="1832" spans="3:3" x14ac:dyDescent="0.25">
      <c r="C1832" s="784"/>
    </row>
    <row r="1833" spans="3:3" x14ac:dyDescent="0.25">
      <c r="C1833" s="784"/>
    </row>
    <row r="1834" spans="3:3" x14ac:dyDescent="0.25">
      <c r="C1834" s="784"/>
    </row>
    <row r="1835" spans="3:3" x14ac:dyDescent="0.25">
      <c r="C1835" s="784"/>
    </row>
    <row r="1836" spans="3:3" x14ac:dyDescent="0.25">
      <c r="C1836" s="784"/>
    </row>
    <row r="1837" spans="3:3" x14ac:dyDescent="0.25">
      <c r="C1837" s="784"/>
    </row>
    <row r="1838" spans="3:3" x14ac:dyDescent="0.25">
      <c r="C1838" s="784"/>
    </row>
    <row r="1839" spans="3:3" x14ac:dyDescent="0.25">
      <c r="C1839" s="784"/>
    </row>
    <row r="1840" spans="3:3" x14ac:dyDescent="0.25">
      <c r="C1840" s="784"/>
    </row>
    <row r="1841" spans="3:3" x14ac:dyDescent="0.25">
      <c r="C1841" s="784"/>
    </row>
    <row r="1842" spans="3:3" x14ac:dyDescent="0.25">
      <c r="C1842" s="784"/>
    </row>
    <row r="1843" spans="3:3" x14ac:dyDescent="0.25">
      <c r="C1843" s="784"/>
    </row>
    <row r="1844" spans="3:3" x14ac:dyDescent="0.25">
      <c r="C1844" s="784"/>
    </row>
    <row r="1845" spans="3:3" x14ac:dyDescent="0.25">
      <c r="C1845" s="784"/>
    </row>
    <row r="1846" spans="3:3" x14ac:dyDescent="0.25">
      <c r="C1846" s="784"/>
    </row>
    <row r="1847" spans="3:3" x14ac:dyDescent="0.25">
      <c r="C1847" s="784"/>
    </row>
    <row r="1848" spans="3:3" x14ac:dyDescent="0.25">
      <c r="C1848" s="784"/>
    </row>
    <row r="1849" spans="3:3" x14ac:dyDescent="0.25">
      <c r="C1849" s="784"/>
    </row>
    <row r="1850" spans="3:3" x14ac:dyDescent="0.25">
      <c r="C1850" s="784"/>
    </row>
    <row r="1851" spans="3:3" x14ac:dyDescent="0.25">
      <c r="C1851" s="784"/>
    </row>
    <row r="1852" spans="3:3" x14ac:dyDescent="0.25">
      <c r="C1852" s="784"/>
    </row>
    <row r="1853" spans="3:3" x14ac:dyDescent="0.25">
      <c r="C1853" s="784"/>
    </row>
    <row r="1854" spans="3:3" x14ac:dyDescent="0.25">
      <c r="C1854" s="784"/>
    </row>
    <row r="1855" spans="3:3" x14ac:dyDescent="0.25">
      <c r="C1855" s="784"/>
    </row>
    <row r="1856" spans="3:3" x14ac:dyDescent="0.25">
      <c r="C1856" s="784"/>
    </row>
    <row r="1857" spans="3:3" x14ac:dyDescent="0.25">
      <c r="C1857" s="784"/>
    </row>
    <row r="1858" spans="3:3" x14ac:dyDescent="0.25">
      <c r="C1858" s="784"/>
    </row>
    <row r="1859" spans="3:3" x14ac:dyDescent="0.25">
      <c r="C1859" s="784"/>
    </row>
    <row r="1860" spans="3:3" x14ac:dyDescent="0.25">
      <c r="C1860" s="784"/>
    </row>
    <row r="1861" spans="3:3" x14ac:dyDescent="0.25">
      <c r="C1861" s="784"/>
    </row>
    <row r="1862" spans="3:3" x14ac:dyDescent="0.25">
      <c r="C1862" s="784"/>
    </row>
    <row r="1863" spans="3:3" x14ac:dyDescent="0.25">
      <c r="C1863" s="784"/>
    </row>
    <row r="1864" spans="3:3" x14ac:dyDescent="0.25">
      <c r="C1864" s="784"/>
    </row>
    <row r="1865" spans="3:3" x14ac:dyDescent="0.25">
      <c r="C1865" s="784"/>
    </row>
    <row r="1866" spans="3:3" x14ac:dyDescent="0.25">
      <c r="C1866" s="784"/>
    </row>
    <row r="1867" spans="3:3" x14ac:dyDescent="0.25">
      <c r="C1867" s="784"/>
    </row>
    <row r="1868" spans="3:3" x14ac:dyDescent="0.25">
      <c r="C1868" s="784"/>
    </row>
    <row r="1869" spans="3:3" x14ac:dyDescent="0.25">
      <c r="C1869" s="784"/>
    </row>
    <row r="1870" spans="3:3" x14ac:dyDescent="0.25">
      <c r="C1870" s="784"/>
    </row>
    <row r="1871" spans="3:3" x14ac:dyDescent="0.25">
      <c r="C1871" s="784"/>
    </row>
    <row r="1872" spans="3:3" x14ac:dyDescent="0.25">
      <c r="C1872" s="784"/>
    </row>
    <row r="1873" spans="3:3" x14ac:dyDescent="0.25">
      <c r="C1873" s="784"/>
    </row>
    <row r="1874" spans="3:3" x14ac:dyDescent="0.25">
      <c r="C1874" s="784"/>
    </row>
    <row r="1875" spans="3:3" x14ac:dyDescent="0.25">
      <c r="C1875" s="784"/>
    </row>
    <row r="1876" spans="3:3" x14ac:dyDescent="0.25">
      <c r="C1876" s="784"/>
    </row>
    <row r="1877" spans="3:3" x14ac:dyDescent="0.25">
      <c r="C1877" s="784"/>
    </row>
    <row r="1878" spans="3:3" x14ac:dyDescent="0.25">
      <c r="C1878" s="784"/>
    </row>
    <row r="1879" spans="3:3" x14ac:dyDescent="0.25">
      <c r="C1879" s="784"/>
    </row>
    <row r="1880" spans="3:3" x14ac:dyDescent="0.25">
      <c r="C1880" s="784"/>
    </row>
    <row r="1881" spans="3:3" x14ac:dyDescent="0.25">
      <c r="C1881" s="784"/>
    </row>
    <row r="1882" spans="3:3" x14ac:dyDescent="0.25">
      <c r="C1882" s="784"/>
    </row>
    <row r="1883" spans="3:3" x14ac:dyDescent="0.25">
      <c r="C1883" s="784"/>
    </row>
    <row r="1884" spans="3:3" x14ac:dyDescent="0.25">
      <c r="C1884" s="784"/>
    </row>
    <row r="1885" spans="3:3" x14ac:dyDescent="0.25">
      <c r="C1885" s="784"/>
    </row>
    <row r="1886" spans="3:3" x14ac:dyDescent="0.25">
      <c r="C1886" s="784"/>
    </row>
    <row r="1887" spans="3:3" x14ac:dyDescent="0.25">
      <c r="C1887" s="784"/>
    </row>
    <row r="1888" spans="3:3" x14ac:dyDescent="0.25">
      <c r="C1888" s="784"/>
    </row>
    <row r="1889" spans="3:3" x14ac:dyDescent="0.25">
      <c r="C1889" s="784"/>
    </row>
    <row r="1890" spans="3:3" x14ac:dyDescent="0.25">
      <c r="C1890" s="784"/>
    </row>
    <row r="1891" spans="3:3" x14ac:dyDescent="0.25">
      <c r="C1891" s="784"/>
    </row>
    <row r="1892" spans="3:3" x14ac:dyDescent="0.25">
      <c r="C1892" s="784"/>
    </row>
    <row r="1893" spans="3:3" x14ac:dyDescent="0.25">
      <c r="C1893" s="784"/>
    </row>
    <row r="1894" spans="3:3" x14ac:dyDescent="0.25">
      <c r="C1894" s="784"/>
    </row>
    <row r="1895" spans="3:3" x14ac:dyDescent="0.25">
      <c r="C1895" s="784"/>
    </row>
    <row r="1896" spans="3:3" x14ac:dyDescent="0.25">
      <c r="C1896" s="784"/>
    </row>
    <row r="1897" spans="3:3" x14ac:dyDescent="0.25">
      <c r="C1897" s="784"/>
    </row>
    <row r="1898" spans="3:3" x14ac:dyDescent="0.25">
      <c r="C1898" s="784"/>
    </row>
    <row r="1899" spans="3:3" x14ac:dyDescent="0.25">
      <c r="C1899" s="784"/>
    </row>
    <row r="1900" spans="3:3" x14ac:dyDescent="0.25">
      <c r="C1900" s="784"/>
    </row>
    <row r="1901" spans="3:3" x14ac:dyDescent="0.25">
      <c r="C1901" s="784"/>
    </row>
    <row r="1902" spans="3:3" x14ac:dyDescent="0.25">
      <c r="C1902" s="784"/>
    </row>
    <row r="1903" spans="3:3" x14ac:dyDescent="0.25">
      <c r="C1903" s="784"/>
    </row>
    <row r="1904" spans="3:3" x14ac:dyDescent="0.25">
      <c r="C1904" s="784"/>
    </row>
    <row r="1905" spans="3:3" x14ac:dyDescent="0.25">
      <c r="C1905" s="784"/>
    </row>
    <row r="1906" spans="3:3" x14ac:dyDescent="0.25">
      <c r="C1906" s="784"/>
    </row>
    <row r="1907" spans="3:3" x14ac:dyDescent="0.25">
      <c r="C1907" s="784"/>
    </row>
    <row r="1908" spans="3:3" x14ac:dyDescent="0.25">
      <c r="C1908" s="784"/>
    </row>
    <row r="1909" spans="3:3" x14ac:dyDescent="0.25">
      <c r="C1909" s="784"/>
    </row>
    <row r="1910" spans="3:3" x14ac:dyDescent="0.25">
      <c r="C1910" s="784"/>
    </row>
    <row r="1911" spans="3:3" x14ac:dyDescent="0.25">
      <c r="C1911" s="784"/>
    </row>
    <row r="1912" spans="3:3" x14ac:dyDescent="0.25">
      <c r="C1912" s="784"/>
    </row>
    <row r="1913" spans="3:3" x14ac:dyDescent="0.25">
      <c r="C1913" s="784"/>
    </row>
    <row r="1914" spans="3:3" x14ac:dyDescent="0.25">
      <c r="C1914" s="784"/>
    </row>
    <row r="1915" spans="3:3" x14ac:dyDescent="0.25">
      <c r="C1915" s="784"/>
    </row>
    <row r="1916" spans="3:3" x14ac:dyDescent="0.25">
      <c r="C1916" s="784"/>
    </row>
    <row r="1917" spans="3:3" x14ac:dyDescent="0.25">
      <c r="C1917" s="784"/>
    </row>
    <row r="1918" spans="3:3" x14ac:dyDescent="0.25">
      <c r="C1918" s="784"/>
    </row>
    <row r="1919" spans="3:3" x14ac:dyDescent="0.25">
      <c r="C1919" s="784"/>
    </row>
    <row r="1920" spans="3:3" x14ac:dyDescent="0.25">
      <c r="C1920" s="784"/>
    </row>
    <row r="1921" spans="3:3" x14ac:dyDescent="0.25">
      <c r="C1921" s="784"/>
    </row>
    <row r="1922" spans="3:3" x14ac:dyDescent="0.25">
      <c r="C1922" s="784"/>
    </row>
    <row r="1923" spans="3:3" x14ac:dyDescent="0.25">
      <c r="C1923" s="784"/>
    </row>
    <row r="1924" spans="3:3" x14ac:dyDescent="0.25">
      <c r="C1924" s="784"/>
    </row>
    <row r="1925" spans="3:3" x14ac:dyDescent="0.25">
      <c r="C1925" s="784"/>
    </row>
    <row r="1926" spans="3:3" x14ac:dyDescent="0.25">
      <c r="C1926" s="784"/>
    </row>
    <row r="1927" spans="3:3" x14ac:dyDescent="0.25">
      <c r="C1927" s="784"/>
    </row>
    <row r="1928" spans="3:3" x14ac:dyDescent="0.25">
      <c r="C1928" s="784"/>
    </row>
    <row r="1929" spans="3:3" x14ac:dyDescent="0.25">
      <c r="C1929" s="784"/>
    </row>
    <row r="1930" spans="3:3" x14ac:dyDescent="0.25">
      <c r="C1930" s="784"/>
    </row>
    <row r="1931" spans="3:3" x14ac:dyDescent="0.25">
      <c r="C1931" s="784"/>
    </row>
    <row r="1932" spans="3:3" x14ac:dyDescent="0.25">
      <c r="C1932" s="784"/>
    </row>
    <row r="1933" spans="3:3" x14ac:dyDescent="0.25">
      <c r="C1933" s="784"/>
    </row>
    <row r="1934" spans="3:3" x14ac:dyDescent="0.25">
      <c r="C1934" s="784"/>
    </row>
    <row r="1935" spans="3:3" x14ac:dyDescent="0.25">
      <c r="C1935" s="784"/>
    </row>
    <row r="1936" spans="3:3" x14ac:dyDescent="0.25">
      <c r="C1936" s="784"/>
    </row>
    <row r="1937" spans="3:3" x14ac:dyDescent="0.25">
      <c r="C1937" s="784"/>
    </row>
    <row r="1938" spans="3:3" x14ac:dyDescent="0.25">
      <c r="C1938" s="784"/>
    </row>
    <row r="1939" spans="3:3" x14ac:dyDescent="0.25">
      <c r="C1939" s="784"/>
    </row>
    <row r="1940" spans="3:3" x14ac:dyDescent="0.25">
      <c r="C1940" s="784"/>
    </row>
    <row r="1941" spans="3:3" x14ac:dyDescent="0.25">
      <c r="C1941" s="784"/>
    </row>
    <row r="1942" spans="3:3" x14ac:dyDescent="0.25">
      <c r="C1942" s="784"/>
    </row>
    <row r="1943" spans="3:3" x14ac:dyDescent="0.25">
      <c r="C1943" s="784"/>
    </row>
    <row r="1944" spans="3:3" x14ac:dyDescent="0.25">
      <c r="C1944" s="784"/>
    </row>
    <row r="1945" spans="3:3" x14ac:dyDescent="0.25">
      <c r="C1945" s="784"/>
    </row>
    <row r="1946" spans="3:3" x14ac:dyDescent="0.25">
      <c r="C1946" s="784"/>
    </row>
    <row r="1947" spans="3:3" x14ac:dyDescent="0.25">
      <c r="C1947" s="784"/>
    </row>
    <row r="1948" spans="3:3" x14ac:dyDescent="0.25">
      <c r="C1948" s="784"/>
    </row>
    <row r="1949" spans="3:3" x14ac:dyDescent="0.25">
      <c r="C1949" s="784"/>
    </row>
    <row r="1950" spans="3:3" x14ac:dyDescent="0.25">
      <c r="C1950" s="784"/>
    </row>
    <row r="1951" spans="3:3" x14ac:dyDescent="0.25">
      <c r="C1951" s="784"/>
    </row>
    <row r="1952" spans="3:3" x14ac:dyDescent="0.25">
      <c r="C1952" s="784"/>
    </row>
    <row r="1953" spans="3:3" x14ac:dyDescent="0.25">
      <c r="C1953" s="784"/>
    </row>
    <row r="1954" spans="3:3" x14ac:dyDescent="0.25">
      <c r="C1954" s="784"/>
    </row>
    <row r="1955" spans="3:3" x14ac:dyDescent="0.25">
      <c r="C1955" s="784"/>
    </row>
    <row r="1956" spans="3:3" x14ac:dyDescent="0.25">
      <c r="C1956" s="784"/>
    </row>
    <row r="1957" spans="3:3" x14ac:dyDescent="0.25">
      <c r="C1957" s="784"/>
    </row>
    <row r="1958" spans="3:3" x14ac:dyDescent="0.25">
      <c r="C1958" s="784"/>
    </row>
    <row r="1959" spans="3:3" x14ac:dyDescent="0.25">
      <c r="C1959" s="784"/>
    </row>
    <row r="1960" spans="3:3" x14ac:dyDescent="0.25">
      <c r="C1960" s="784"/>
    </row>
    <row r="1961" spans="3:3" x14ac:dyDescent="0.25">
      <c r="C1961" s="784"/>
    </row>
    <row r="1962" spans="3:3" x14ac:dyDescent="0.25">
      <c r="C1962" s="784"/>
    </row>
    <row r="1963" spans="3:3" x14ac:dyDescent="0.25">
      <c r="C1963" s="784"/>
    </row>
    <row r="1964" spans="3:3" x14ac:dyDescent="0.25">
      <c r="C1964" s="784"/>
    </row>
    <row r="1965" spans="3:3" x14ac:dyDescent="0.25">
      <c r="C1965" s="784"/>
    </row>
    <row r="1966" spans="3:3" x14ac:dyDescent="0.25">
      <c r="C1966" s="784"/>
    </row>
    <row r="1967" spans="3:3" x14ac:dyDescent="0.25">
      <c r="C1967" s="784"/>
    </row>
    <row r="1968" spans="3:3" x14ac:dyDescent="0.25">
      <c r="C1968" s="784"/>
    </row>
    <row r="1969" spans="3:3" x14ac:dyDescent="0.25">
      <c r="C1969" s="784"/>
    </row>
    <row r="1970" spans="3:3" x14ac:dyDescent="0.25">
      <c r="C1970" s="784"/>
    </row>
    <row r="1971" spans="3:3" x14ac:dyDescent="0.25">
      <c r="C1971" s="784"/>
    </row>
    <row r="1972" spans="3:3" x14ac:dyDescent="0.25">
      <c r="C1972" s="784"/>
    </row>
    <row r="1973" spans="3:3" x14ac:dyDescent="0.25">
      <c r="C1973" s="784"/>
    </row>
    <row r="1974" spans="3:3" x14ac:dyDescent="0.25">
      <c r="C1974" s="784"/>
    </row>
    <row r="1975" spans="3:3" x14ac:dyDescent="0.25">
      <c r="C1975" s="784"/>
    </row>
    <row r="1976" spans="3:3" x14ac:dyDescent="0.25">
      <c r="C1976" s="784"/>
    </row>
    <row r="1977" spans="3:3" x14ac:dyDescent="0.25">
      <c r="C1977" s="784"/>
    </row>
    <row r="1978" spans="3:3" x14ac:dyDescent="0.25">
      <c r="C1978" s="784"/>
    </row>
    <row r="1979" spans="3:3" x14ac:dyDescent="0.25">
      <c r="C1979" s="784"/>
    </row>
    <row r="1980" spans="3:3" x14ac:dyDescent="0.25">
      <c r="C1980" s="784"/>
    </row>
    <row r="1981" spans="3:3" x14ac:dyDescent="0.25">
      <c r="C1981" s="784"/>
    </row>
    <row r="1982" spans="3:3" x14ac:dyDescent="0.25">
      <c r="C1982" s="784"/>
    </row>
    <row r="1983" spans="3:3" x14ac:dyDescent="0.25">
      <c r="C1983" s="784"/>
    </row>
    <row r="1984" spans="3:3" x14ac:dyDescent="0.25">
      <c r="C1984" s="784"/>
    </row>
    <row r="1985" spans="3:3" x14ac:dyDescent="0.25">
      <c r="C1985" s="784"/>
    </row>
    <row r="1986" spans="3:3" x14ac:dyDescent="0.25">
      <c r="C1986" s="784"/>
    </row>
    <row r="1987" spans="3:3" x14ac:dyDescent="0.25">
      <c r="C1987" s="784"/>
    </row>
    <row r="1988" spans="3:3" x14ac:dyDescent="0.25">
      <c r="C1988" s="784"/>
    </row>
    <row r="1989" spans="3:3" x14ac:dyDescent="0.25">
      <c r="C1989" s="784"/>
    </row>
    <row r="1990" spans="3:3" x14ac:dyDescent="0.25">
      <c r="C1990" s="784"/>
    </row>
    <row r="1991" spans="3:3" x14ac:dyDescent="0.25">
      <c r="C1991" s="784"/>
    </row>
    <row r="1992" spans="3:3" x14ac:dyDescent="0.25">
      <c r="C1992" s="784"/>
    </row>
    <row r="1993" spans="3:3" x14ac:dyDescent="0.25">
      <c r="C1993" s="784"/>
    </row>
    <row r="1994" spans="3:3" x14ac:dyDescent="0.25">
      <c r="C1994" s="784"/>
    </row>
    <row r="1995" spans="3:3" x14ac:dyDescent="0.25">
      <c r="C1995" s="784"/>
    </row>
    <row r="1996" spans="3:3" x14ac:dyDescent="0.25">
      <c r="C1996" s="784"/>
    </row>
    <row r="1997" spans="3:3" x14ac:dyDescent="0.25">
      <c r="C1997" s="784"/>
    </row>
    <row r="1998" spans="3:3" x14ac:dyDescent="0.25">
      <c r="C1998" s="784"/>
    </row>
    <row r="1999" spans="3:3" x14ac:dyDescent="0.25">
      <c r="C1999" s="784"/>
    </row>
    <row r="2000" spans="3:3" x14ac:dyDescent="0.25">
      <c r="C2000" s="784"/>
    </row>
    <row r="2001" spans="3:3" x14ac:dyDescent="0.25">
      <c r="C2001" s="784"/>
    </row>
    <row r="2002" spans="3:3" x14ac:dyDescent="0.25">
      <c r="C2002" s="784"/>
    </row>
    <row r="2003" spans="3:3" x14ac:dyDescent="0.25">
      <c r="C2003" s="784"/>
    </row>
    <row r="2004" spans="3:3" x14ac:dyDescent="0.25">
      <c r="C2004" s="784"/>
    </row>
    <row r="2005" spans="3:3" x14ac:dyDescent="0.25">
      <c r="C2005" s="784"/>
    </row>
    <row r="2006" spans="3:3" x14ac:dyDescent="0.25">
      <c r="C2006" s="784"/>
    </row>
    <row r="2007" spans="3:3" x14ac:dyDescent="0.25">
      <c r="C2007" s="784"/>
    </row>
    <row r="2008" spans="3:3" x14ac:dyDescent="0.25">
      <c r="C2008" s="784"/>
    </row>
    <row r="2009" spans="3:3" x14ac:dyDescent="0.25">
      <c r="C2009" s="784"/>
    </row>
    <row r="2010" spans="3:3" x14ac:dyDescent="0.25">
      <c r="C2010" s="784"/>
    </row>
    <row r="2011" spans="3:3" x14ac:dyDescent="0.25">
      <c r="C2011" s="784"/>
    </row>
    <row r="2012" spans="3:3" x14ac:dyDescent="0.25">
      <c r="C2012" s="784"/>
    </row>
    <row r="2013" spans="3:3" x14ac:dyDescent="0.25">
      <c r="C2013" s="784"/>
    </row>
    <row r="2014" spans="3:3" x14ac:dyDescent="0.25">
      <c r="C2014" s="784"/>
    </row>
    <row r="2015" spans="3:3" x14ac:dyDescent="0.25">
      <c r="C2015" s="784"/>
    </row>
    <row r="2016" spans="3:3" x14ac:dyDescent="0.25">
      <c r="C2016" s="784"/>
    </row>
    <row r="2017" spans="3:3" x14ac:dyDescent="0.25">
      <c r="C2017" s="784"/>
    </row>
    <row r="2018" spans="3:3" x14ac:dyDescent="0.25">
      <c r="C2018" s="784"/>
    </row>
    <row r="2019" spans="3:3" x14ac:dyDescent="0.25">
      <c r="C2019" s="784"/>
    </row>
    <row r="2020" spans="3:3" x14ac:dyDescent="0.25">
      <c r="C2020" s="784"/>
    </row>
    <row r="2021" spans="3:3" x14ac:dyDescent="0.25">
      <c r="C2021" s="784"/>
    </row>
    <row r="2022" spans="3:3" x14ac:dyDescent="0.25">
      <c r="C2022" s="784"/>
    </row>
    <row r="2023" spans="3:3" x14ac:dyDescent="0.25">
      <c r="C2023" s="784"/>
    </row>
    <row r="2024" spans="3:3" x14ac:dyDescent="0.25">
      <c r="C2024" s="784"/>
    </row>
    <row r="2025" spans="3:3" x14ac:dyDescent="0.25">
      <c r="C2025" s="784"/>
    </row>
    <row r="2026" spans="3:3" x14ac:dyDescent="0.25">
      <c r="C2026" s="784"/>
    </row>
    <row r="2027" spans="3:3" x14ac:dyDescent="0.25">
      <c r="C2027" s="784"/>
    </row>
    <row r="2028" spans="3:3" x14ac:dyDescent="0.25">
      <c r="C2028" s="784"/>
    </row>
    <row r="2029" spans="3:3" x14ac:dyDescent="0.25">
      <c r="C2029" s="784"/>
    </row>
    <row r="2030" spans="3:3" x14ac:dyDescent="0.25">
      <c r="C2030" s="784"/>
    </row>
    <row r="2031" spans="3:3" x14ac:dyDescent="0.25">
      <c r="C2031" s="784"/>
    </row>
    <row r="2032" spans="3:3" x14ac:dyDescent="0.25">
      <c r="C2032" s="784"/>
    </row>
    <row r="2033" spans="3:3" x14ac:dyDescent="0.25">
      <c r="C2033" s="784"/>
    </row>
    <row r="2034" spans="3:3" x14ac:dyDescent="0.25">
      <c r="C2034" s="784"/>
    </row>
    <row r="2035" spans="3:3" x14ac:dyDescent="0.25">
      <c r="C2035" s="784"/>
    </row>
    <row r="2036" spans="3:3" x14ac:dyDescent="0.25">
      <c r="C2036" s="784"/>
    </row>
    <row r="2037" spans="3:3" x14ac:dyDescent="0.25">
      <c r="C2037" s="784"/>
    </row>
    <row r="2038" spans="3:3" x14ac:dyDescent="0.25">
      <c r="C2038" s="784"/>
    </row>
    <row r="2039" spans="3:3" x14ac:dyDescent="0.25">
      <c r="C2039" s="784"/>
    </row>
    <row r="2040" spans="3:3" x14ac:dyDescent="0.25">
      <c r="C2040" s="784"/>
    </row>
    <row r="2041" spans="3:3" x14ac:dyDescent="0.25">
      <c r="C2041" s="784"/>
    </row>
    <row r="2042" spans="3:3" x14ac:dyDescent="0.25">
      <c r="C2042" s="784"/>
    </row>
    <row r="2043" spans="3:3" x14ac:dyDescent="0.25">
      <c r="C2043" s="784"/>
    </row>
    <row r="2044" spans="3:3" x14ac:dyDescent="0.25">
      <c r="C2044" s="784"/>
    </row>
    <row r="2045" spans="3:3" x14ac:dyDescent="0.25">
      <c r="C2045" s="784"/>
    </row>
    <row r="2046" spans="3:3" x14ac:dyDescent="0.25">
      <c r="C2046" s="784"/>
    </row>
    <row r="2047" spans="3:3" x14ac:dyDescent="0.25">
      <c r="C2047" s="784"/>
    </row>
    <row r="2048" spans="3:3" x14ac:dyDescent="0.25">
      <c r="C2048" s="784"/>
    </row>
    <row r="2049" spans="3:3" x14ac:dyDescent="0.25">
      <c r="C2049" s="784"/>
    </row>
    <row r="2050" spans="3:3" x14ac:dyDescent="0.25">
      <c r="C2050" s="784"/>
    </row>
    <row r="2051" spans="3:3" x14ac:dyDescent="0.25">
      <c r="C2051" s="784"/>
    </row>
    <row r="2052" spans="3:3" x14ac:dyDescent="0.25">
      <c r="C2052" s="784"/>
    </row>
    <row r="2053" spans="3:3" x14ac:dyDescent="0.25">
      <c r="C2053" s="784"/>
    </row>
    <row r="2054" spans="3:3" x14ac:dyDescent="0.25">
      <c r="C2054" s="784"/>
    </row>
    <row r="2055" spans="3:3" x14ac:dyDescent="0.25">
      <c r="C2055" s="784"/>
    </row>
    <row r="2056" spans="3:3" x14ac:dyDescent="0.25">
      <c r="C2056" s="784"/>
    </row>
    <row r="2057" spans="3:3" x14ac:dyDescent="0.25">
      <c r="C2057" s="784"/>
    </row>
    <row r="2058" spans="3:3" x14ac:dyDescent="0.25">
      <c r="C2058" s="784"/>
    </row>
    <row r="2059" spans="3:3" x14ac:dyDescent="0.25">
      <c r="C2059" s="784"/>
    </row>
    <row r="2060" spans="3:3" x14ac:dyDescent="0.25">
      <c r="C2060" s="784"/>
    </row>
    <row r="2061" spans="3:3" x14ac:dyDescent="0.25">
      <c r="C2061" s="784"/>
    </row>
    <row r="2062" spans="3:3" x14ac:dyDescent="0.25">
      <c r="C2062" s="784"/>
    </row>
    <row r="2063" spans="3:3" x14ac:dyDescent="0.25">
      <c r="C2063" s="784"/>
    </row>
    <row r="2064" spans="3:3" x14ac:dyDescent="0.25">
      <c r="C2064" s="784"/>
    </row>
    <row r="2065" spans="3:3" x14ac:dyDescent="0.25">
      <c r="C2065" s="784"/>
    </row>
    <row r="2066" spans="3:3" x14ac:dyDescent="0.25">
      <c r="C2066" s="784"/>
    </row>
    <row r="2067" spans="3:3" x14ac:dyDescent="0.25">
      <c r="C2067" s="784"/>
    </row>
    <row r="2068" spans="3:3" x14ac:dyDescent="0.25">
      <c r="C2068" s="784"/>
    </row>
    <row r="2069" spans="3:3" x14ac:dyDescent="0.25">
      <c r="C2069" s="784"/>
    </row>
    <row r="2070" spans="3:3" x14ac:dyDescent="0.25">
      <c r="C2070" s="784"/>
    </row>
    <row r="2071" spans="3:3" x14ac:dyDescent="0.25">
      <c r="C2071" s="784"/>
    </row>
    <row r="2072" spans="3:3" x14ac:dyDescent="0.25">
      <c r="C2072" s="784"/>
    </row>
    <row r="2073" spans="3:3" x14ac:dyDescent="0.25">
      <c r="C2073" s="784"/>
    </row>
    <row r="2074" spans="3:3" x14ac:dyDescent="0.25">
      <c r="C2074" s="784"/>
    </row>
    <row r="2075" spans="3:3" x14ac:dyDescent="0.25">
      <c r="C2075" s="784"/>
    </row>
    <row r="2076" spans="3:3" x14ac:dyDescent="0.25">
      <c r="C2076" s="784"/>
    </row>
    <row r="2077" spans="3:3" x14ac:dyDescent="0.25">
      <c r="C2077" s="784"/>
    </row>
    <row r="2078" spans="3:3" x14ac:dyDescent="0.25">
      <c r="C2078" s="784"/>
    </row>
    <row r="2079" spans="3:3" x14ac:dyDescent="0.25">
      <c r="C2079" s="784"/>
    </row>
    <row r="2080" spans="3:3" x14ac:dyDescent="0.25">
      <c r="C2080" s="784"/>
    </row>
    <row r="2081" spans="3:3" x14ac:dyDescent="0.25">
      <c r="C2081" s="784"/>
    </row>
    <row r="2082" spans="3:3" x14ac:dyDescent="0.25">
      <c r="C2082" s="784"/>
    </row>
    <row r="2083" spans="3:3" x14ac:dyDescent="0.25">
      <c r="C2083" s="784"/>
    </row>
    <row r="2084" spans="3:3" x14ac:dyDescent="0.25">
      <c r="C2084" s="784"/>
    </row>
    <row r="2085" spans="3:3" x14ac:dyDescent="0.25">
      <c r="C2085" s="784"/>
    </row>
    <row r="2086" spans="3:3" x14ac:dyDescent="0.25">
      <c r="C2086" s="784"/>
    </row>
    <row r="2087" spans="3:3" x14ac:dyDescent="0.25">
      <c r="C2087" s="784"/>
    </row>
    <row r="2088" spans="3:3" x14ac:dyDescent="0.25">
      <c r="C2088" s="784"/>
    </row>
    <row r="2089" spans="3:3" x14ac:dyDescent="0.25">
      <c r="C2089" s="784"/>
    </row>
    <row r="2090" spans="3:3" x14ac:dyDescent="0.25">
      <c r="C2090" s="784"/>
    </row>
    <row r="2091" spans="3:3" x14ac:dyDescent="0.25">
      <c r="C2091" s="784"/>
    </row>
    <row r="2092" spans="3:3" x14ac:dyDescent="0.25">
      <c r="C2092" s="784"/>
    </row>
    <row r="2093" spans="3:3" x14ac:dyDescent="0.25">
      <c r="C2093" s="784"/>
    </row>
    <row r="2094" spans="3:3" x14ac:dyDescent="0.25">
      <c r="C2094" s="784"/>
    </row>
    <row r="2095" spans="3:3" x14ac:dyDescent="0.25">
      <c r="C2095" s="784"/>
    </row>
    <row r="2096" spans="3:3" x14ac:dyDescent="0.25">
      <c r="C2096" s="784"/>
    </row>
    <row r="2097" spans="3:3" x14ac:dyDescent="0.25">
      <c r="C2097" s="784"/>
    </row>
    <row r="2098" spans="3:3" x14ac:dyDescent="0.25">
      <c r="C2098" s="784"/>
    </row>
    <row r="2099" spans="3:3" x14ac:dyDescent="0.25">
      <c r="C2099" s="784"/>
    </row>
    <row r="2100" spans="3:3" x14ac:dyDescent="0.25">
      <c r="C2100" s="784"/>
    </row>
    <row r="2101" spans="3:3" x14ac:dyDescent="0.25">
      <c r="C2101" s="784"/>
    </row>
    <row r="2102" spans="3:3" x14ac:dyDescent="0.25">
      <c r="C2102" s="784"/>
    </row>
    <row r="2103" spans="3:3" x14ac:dyDescent="0.25">
      <c r="C2103" s="784"/>
    </row>
    <row r="2104" spans="3:3" x14ac:dyDescent="0.25">
      <c r="C2104" s="784"/>
    </row>
    <row r="2105" spans="3:3" x14ac:dyDescent="0.25">
      <c r="C2105" s="784"/>
    </row>
    <row r="2106" spans="3:3" x14ac:dyDescent="0.25">
      <c r="C2106" s="784"/>
    </row>
    <row r="2107" spans="3:3" x14ac:dyDescent="0.25">
      <c r="C2107" s="784"/>
    </row>
    <row r="2108" spans="3:3" x14ac:dyDescent="0.25">
      <c r="C2108" s="784"/>
    </row>
    <row r="2109" spans="3:3" x14ac:dyDescent="0.25">
      <c r="C2109" s="784"/>
    </row>
    <row r="2110" spans="3:3" x14ac:dyDescent="0.25">
      <c r="C2110" s="784"/>
    </row>
    <row r="2111" spans="3:3" x14ac:dyDescent="0.25">
      <c r="C2111" s="784"/>
    </row>
    <row r="2112" spans="3:3" x14ac:dyDescent="0.25">
      <c r="C2112" s="784"/>
    </row>
    <row r="2113" spans="3:3" x14ac:dyDescent="0.25">
      <c r="C2113" s="784"/>
    </row>
    <row r="2114" spans="3:3" x14ac:dyDescent="0.25">
      <c r="C2114" s="784"/>
    </row>
    <row r="2115" spans="3:3" x14ac:dyDescent="0.25">
      <c r="C2115" s="784"/>
    </row>
    <row r="2116" spans="3:3" x14ac:dyDescent="0.25">
      <c r="C2116" s="784"/>
    </row>
    <row r="2117" spans="3:3" x14ac:dyDescent="0.25">
      <c r="C2117" s="784"/>
    </row>
    <row r="2118" spans="3:3" x14ac:dyDescent="0.25">
      <c r="C2118" s="784"/>
    </row>
    <row r="2119" spans="3:3" x14ac:dyDescent="0.25">
      <c r="C2119" s="784"/>
    </row>
    <row r="2120" spans="3:3" x14ac:dyDescent="0.25">
      <c r="C2120" s="784"/>
    </row>
    <row r="2121" spans="3:3" x14ac:dyDescent="0.25">
      <c r="C2121" s="784"/>
    </row>
    <row r="2122" spans="3:3" x14ac:dyDescent="0.25">
      <c r="C2122" s="784"/>
    </row>
    <row r="2123" spans="3:3" x14ac:dyDescent="0.25">
      <c r="C2123" s="784"/>
    </row>
    <row r="2124" spans="3:3" x14ac:dyDescent="0.25">
      <c r="C2124" s="784"/>
    </row>
    <row r="2125" spans="3:3" x14ac:dyDescent="0.25">
      <c r="C2125" s="784"/>
    </row>
    <row r="2126" spans="3:3" x14ac:dyDescent="0.25">
      <c r="C2126" s="784"/>
    </row>
    <row r="2127" spans="3:3" x14ac:dyDescent="0.25">
      <c r="C2127" s="784"/>
    </row>
    <row r="2128" spans="3:3" x14ac:dyDescent="0.25">
      <c r="C2128" s="784"/>
    </row>
    <row r="2129" spans="3:3" x14ac:dyDescent="0.25">
      <c r="C2129" s="784"/>
    </row>
    <row r="2130" spans="3:3" x14ac:dyDescent="0.25">
      <c r="C2130" s="784"/>
    </row>
    <row r="2131" spans="3:3" x14ac:dyDescent="0.25">
      <c r="C2131" s="784"/>
    </row>
    <row r="2132" spans="3:3" x14ac:dyDescent="0.25">
      <c r="C2132" s="784"/>
    </row>
    <row r="2133" spans="3:3" x14ac:dyDescent="0.25">
      <c r="C2133" s="784"/>
    </row>
    <row r="2134" spans="3:3" x14ac:dyDescent="0.25">
      <c r="C2134" s="784"/>
    </row>
    <row r="2135" spans="3:3" x14ac:dyDescent="0.25">
      <c r="C2135" s="784"/>
    </row>
    <row r="2136" spans="3:3" x14ac:dyDescent="0.25">
      <c r="C2136" s="784"/>
    </row>
    <row r="2137" spans="3:3" x14ac:dyDescent="0.25">
      <c r="C2137" s="784"/>
    </row>
    <row r="2138" spans="3:3" x14ac:dyDescent="0.25">
      <c r="C2138" s="784"/>
    </row>
    <row r="2139" spans="3:3" x14ac:dyDescent="0.25">
      <c r="C2139" s="784"/>
    </row>
    <row r="2140" spans="3:3" x14ac:dyDescent="0.25">
      <c r="C2140" s="784"/>
    </row>
    <row r="2141" spans="3:3" x14ac:dyDescent="0.25">
      <c r="C2141" s="784"/>
    </row>
    <row r="2142" spans="3:3" x14ac:dyDescent="0.25">
      <c r="C2142" s="784"/>
    </row>
    <row r="2143" spans="3:3" x14ac:dyDescent="0.25">
      <c r="C2143" s="784"/>
    </row>
    <row r="2144" spans="3:3" x14ac:dyDescent="0.25">
      <c r="C2144" s="784"/>
    </row>
    <row r="2145" spans="3:3" x14ac:dyDescent="0.25">
      <c r="C2145" s="784"/>
    </row>
    <row r="2146" spans="3:3" x14ac:dyDescent="0.25">
      <c r="C2146" s="784"/>
    </row>
    <row r="2147" spans="3:3" x14ac:dyDescent="0.25">
      <c r="C2147" s="784"/>
    </row>
    <row r="2148" spans="3:3" x14ac:dyDescent="0.25">
      <c r="C2148" s="784"/>
    </row>
    <row r="2149" spans="3:3" x14ac:dyDescent="0.25">
      <c r="C2149" s="784"/>
    </row>
    <row r="2150" spans="3:3" x14ac:dyDescent="0.25">
      <c r="C2150" s="784"/>
    </row>
    <row r="2151" spans="3:3" x14ac:dyDescent="0.25">
      <c r="C2151" s="784"/>
    </row>
    <row r="2152" spans="3:3" x14ac:dyDescent="0.25">
      <c r="C2152" s="784"/>
    </row>
    <row r="2153" spans="3:3" x14ac:dyDescent="0.25">
      <c r="C2153" s="784"/>
    </row>
    <row r="2154" spans="3:3" x14ac:dyDescent="0.25">
      <c r="C2154" s="784"/>
    </row>
    <row r="2155" spans="3:3" x14ac:dyDescent="0.25">
      <c r="C2155" s="784"/>
    </row>
    <row r="2156" spans="3:3" x14ac:dyDescent="0.25">
      <c r="C2156" s="784"/>
    </row>
    <row r="2157" spans="3:3" x14ac:dyDescent="0.25">
      <c r="C2157" s="784"/>
    </row>
    <row r="2158" spans="3:3" x14ac:dyDescent="0.25">
      <c r="C2158" s="784"/>
    </row>
    <row r="2159" spans="3:3" x14ac:dyDescent="0.25">
      <c r="C2159" s="784"/>
    </row>
    <row r="2160" spans="3:3" x14ac:dyDescent="0.25">
      <c r="C2160" s="784"/>
    </row>
    <row r="2161" spans="3:3" x14ac:dyDescent="0.25">
      <c r="C2161" s="784"/>
    </row>
    <row r="2162" spans="3:3" x14ac:dyDescent="0.25">
      <c r="C2162" s="784"/>
    </row>
    <row r="2163" spans="3:3" x14ac:dyDescent="0.25">
      <c r="C2163" s="784"/>
    </row>
    <row r="2164" spans="3:3" x14ac:dyDescent="0.25">
      <c r="C2164" s="784"/>
    </row>
    <row r="2165" spans="3:3" x14ac:dyDescent="0.25">
      <c r="C2165" s="784"/>
    </row>
    <row r="2166" spans="3:3" x14ac:dyDescent="0.25">
      <c r="C2166" s="784"/>
    </row>
    <row r="2167" spans="3:3" x14ac:dyDescent="0.25">
      <c r="C2167" s="784"/>
    </row>
    <row r="2168" spans="3:3" x14ac:dyDescent="0.25">
      <c r="C2168" s="784"/>
    </row>
    <row r="2169" spans="3:3" x14ac:dyDescent="0.25">
      <c r="C2169" s="784"/>
    </row>
    <row r="2170" spans="3:3" x14ac:dyDescent="0.25">
      <c r="C2170" s="784"/>
    </row>
    <row r="2171" spans="3:3" x14ac:dyDescent="0.25">
      <c r="C2171" s="784"/>
    </row>
    <row r="2172" spans="3:3" x14ac:dyDescent="0.25">
      <c r="C2172" s="784"/>
    </row>
    <row r="2173" spans="3:3" x14ac:dyDescent="0.25">
      <c r="C2173" s="784"/>
    </row>
    <row r="2174" spans="3:3" x14ac:dyDescent="0.25">
      <c r="C2174" s="784"/>
    </row>
    <row r="2175" spans="3:3" x14ac:dyDescent="0.25">
      <c r="C2175" s="784"/>
    </row>
    <row r="2176" spans="3:3" x14ac:dyDescent="0.25">
      <c r="C2176" s="784"/>
    </row>
    <row r="2177" spans="3:3" x14ac:dyDescent="0.25">
      <c r="C2177" s="784"/>
    </row>
    <row r="2178" spans="3:3" x14ac:dyDescent="0.25">
      <c r="C2178" s="784"/>
    </row>
    <row r="2179" spans="3:3" x14ac:dyDescent="0.25">
      <c r="C2179" s="784"/>
    </row>
    <row r="2180" spans="3:3" x14ac:dyDescent="0.25">
      <c r="C2180" s="784"/>
    </row>
    <row r="2181" spans="3:3" x14ac:dyDescent="0.25">
      <c r="C2181" s="784"/>
    </row>
    <row r="2182" spans="3:3" x14ac:dyDescent="0.25">
      <c r="C2182" s="784"/>
    </row>
    <row r="2183" spans="3:3" x14ac:dyDescent="0.25">
      <c r="C2183" s="784"/>
    </row>
    <row r="2184" spans="3:3" x14ac:dyDescent="0.25">
      <c r="C2184" s="784"/>
    </row>
    <row r="2185" spans="3:3" x14ac:dyDescent="0.25">
      <c r="C2185" s="784"/>
    </row>
    <row r="2186" spans="3:3" x14ac:dyDescent="0.25">
      <c r="C2186" s="784"/>
    </row>
    <row r="2187" spans="3:3" x14ac:dyDescent="0.25">
      <c r="C2187" s="784"/>
    </row>
    <row r="2188" spans="3:3" x14ac:dyDescent="0.25">
      <c r="C2188" s="784"/>
    </row>
    <row r="2189" spans="3:3" x14ac:dyDescent="0.25">
      <c r="C2189" s="784"/>
    </row>
    <row r="2190" spans="3:3" x14ac:dyDescent="0.25">
      <c r="C2190" s="784"/>
    </row>
    <row r="2191" spans="3:3" x14ac:dyDescent="0.25">
      <c r="C2191" s="784"/>
    </row>
    <row r="2192" spans="3:3" x14ac:dyDescent="0.25">
      <c r="C2192" s="784"/>
    </row>
    <row r="2193" spans="3:3" x14ac:dyDescent="0.25">
      <c r="C2193" s="784"/>
    </row>
    <row r="2194" spans="3:3" x14ac:dyDescent="0.25">
      <c r="C2194" s="784"/>
    </row>
    <row r="2195" spans="3:3" x14ac:dyDescent="0.25">
      <c r="C2195" s="784"/>
    </row>
    <row r="2196" spans="3:3" x14ac:dyDescent="0.25">
      <c r="C2196" s="784"/>
    </row>
    <row r="2197" spans="3:3" x14ac:dyDescent="0.25">
      <c r="C2197" s="784"/>
    </row>
    <row r="2198" spans="3:3" x14ac:dyDescent="0.25">
      <c r="C2198" s="784"/>
    </row>
    <row r="2199" spans="3:3" x14ac:dyDescent="0.25">
      <c r="C2199" s="784"/>
    </row>
    <row r="2200" spans="3:3" x14ac:dyDescent="0.25">
      <c r="C2200" s="784"/>
    </row>
    <row r="2201" spans="3:3" x14ac:dyDescent="0.25">
      <c r="C2201" s="784"/>
    </row>
    <row r="2202" spans="3:3" x14ac:dyDescent="0.25">
      <c r="C2202" s="784"/>
    </row>
    <row r="2203" spans="3:3" x14ac:dyDescent="0.25">
      <c r="C2203" s="784"/>
    </row>
    <row r="2204" spans="3:3" x14ac:dyDescent="0.25">
      <c r="C2204" s="784"/>
    </row>
    <row r="2205" spans="3:3" x14ac:dyDescent="0.25">
      <c r="C2205" s="784"/>
    </row>
    <row r="2206" spans="3:3" x14ac:dyDescent="0.25">
      <c r="C2206" s="784"/>
    </row>
    <row r="2207" spans="3:3" x14ac:dyDescent="0.25">
      <c r="C2207" s="784"/>
    </row>
    <row r="2208" spans="3:3" x14ac:dyDescent="0.25">
      <c r="C2208" s="784"/>
    </row>
    <row r="2209" spans="3:3" x14ac:dyDescent="0.25">
      <c r="C2209" s="784"/>
    </row>
    <row r="2210" spans="3:3" x14ac:dyDescent="0.25">
      <c r="C2210" s="784"/>
    </row>
    <row r="2211" spans="3:3" x14ac:dyDescent="0.25">
      <c r="C2211" s="784"/>
    </row>
    <row r="2212" spans="3:3" x14ac:dyDescent="0.25">
      <c r="C2212" s="784"/>
    </row>
    <row r="2213" spans="3:3" x14ac:dyDescent="0.25">
      <c r="C2213" s="784"/>
    </row>
    <row r="2214" spans="3:3" x14ac:dyDescent="0.25">
      <c r="C2214" s="784"/>
    </row>
    <row r="2215" spans="3:3" x14ac:dyDescent="0.25">
      <c r="C2215" s="784"/>
    </row>
    <row r="2216" spans="3:3" x14ac:dyDescent="0.25">
      <c r="C2216" s="784"/>
    </row>
    <row r="2217" spans="3:3" x14ac:dyDescent="0.25">
      <c r="C2217" s="784"/>
    </row>
    <row r="2218" spans="3:3" x14ac:dyDescent="0.25">
      <c r="C2218" s="784"/>
    </row>
    <row r="2219" spans="3:3" x14ac:dyDescent="0.25">
      <c r="C2219" s="784"/>
    </row>
    <row r="2220" spans="3:3" x14ac:dyDescent="0.25">
      <c r="C2220" s="784"/>
    </row>
    <row r="2221" spans="3:3" x14ac:dyDescent="0.25">
      <c r="C2221" s="784"/>
    </row>
    <row r="2222" spans="3:3" x14ac:dyDescent="0.25">
      <c r="C2222" s="784"/>
    </row>
    <row r="2223" spans="3:3" x14ac:dyDescent="0.25">
      <c r="C2223" s="784"/>
    </row>
    <row r="2224" spans="3:3" x14ac:dyDescent="0.25">
      <c r="C2224" s="784"/>
    </row>
    <row r="2225" spans="3:3" x14ac:dyDescent="0.25">
      <c r="C2225" s="784"/>
    </row>
    <row r="2226" spans="3:3" x14ac:dyDescent="0.25">
      <c r="C2226" s="784"/>
    </row>
    <row r="2227" spans="3:3" x14ac:dyDescent="0.25">
      <c r="C2227" s="784"/>
    </row>
    <row r="2228" spans="3:3" x14ac:dyDescent="0.25">
      <c r="C2228" s="784"/>
    </row>
    <row r="2229" spans="3:3" x14ac:dyDescent="0.25">
      <c r="C2229" s="784"/>
    </row>
    <row r="2230" spans="3:3" x14ac:dyDescent="0.25">
      <c r="C2230" s="784"/>
    </row>
    <row r="2231" spans="3:3" x14ac:dyDescent="0.25">
      <c r="C2231" s="784"/>
    </row>
    <row r="2232" spans="3:3" x14ac:dyDescent="0.25">
      <c r="C2232" s="784"/>
    </row>
    <row r="2233" spans="3:3" x14ac:dyDescent="0.25">
      <c r="C2233" s="784"/>
    </row>
    <row r="2234" spans="3:3" x14ac:dyDescent="0.25">
      <c r="C2234" s="784"/>
    </row>
    <row r="2235" spans="3:3" x14ac:dyDescent="0.25">
      <c r="C2235" s="784"/>
    </row>
    <row r="2236" spans="3:3" x14ac:dyDescent="0.25">
      <c r="C2236" s="784"/>
    </row>
    <row r="2237" spans="3:3" x14ac:dyDescent="0.25">
      <c r="C2237" s="784"/>
    </row>
    <row r="2238" spans="3:3" x14ac:dyDescent="0.25">
      <c r="C2238" s="784"/>
    </row>
    <row r="2239" spans="3:3" x14ac:dyDescent="0.25">
      <c r="C2239" s="784"/>
    </row>
    <row r="2240" spans="3:3" x14ac:dyDescent="0.25">
      <c r="C2240" s="784"/>
    </row>
    <row r="2241" spans="3:3" x14ac:dyDescent="0.25">
      <c r="C2241" s="784"/>
    </row>
    <row r="2242" spans="3:3" x14ac:dyDescent="0.25">
      <c r="C2242" s="784"/>
    </row>
    <row r="2243" spans="3:3" x14ac:dyDescent="0.25">
      <c r="C2243" s="784"/>
    </row>
    <row r="2244" spans="3:3" x14ac:dyDescent="0.25">
      <c r="C2244" s="784"/>
    </row>
    <row r="2245" spans="3:3" x14ac:dyDescent="0.25">
      <c r="C2245" s="784"/>
    </row>
    <row r="2246" spans="3:3" x14ac:dyDescent="0.25">
      <c r="C2246" s="784"/>
    </row>
    <row r="2247" spans="3:3" x14ac:dyDescent="0.25">
      <c r="C2247" s="784"/>
    </row>
    <row r="2248" spans="3:3" x14ac:dyDescent="0.25">
      <c r="C2248" s="784"/>
    </row>
    <row r="2249" spans="3:3" x14ac:dyDescent="0.25">
      <c r="C2249" s="784"/>
    </row>
    <row r="2250" spans="3:3" x14ac:dyDescent="0.25">
      <c r="C2250" s="784"/>
    </row>
    <row r="2251" spans="3:3" x14ac:dyDescent="0.25">
      <c r="C2251" s="784"/>
    </row>
    <row r="2252" spans="3:3" x14ac:dyDescent="0.25">
      <c r="C2252" s="784"/>
    </row>
    <row r="2253" spans="3:3" x14ac:dyDescent="0.25">
      <c r="C2253" s="784"/>
    </row>
    <row r="2254" spans="3:3" x14ac:dyDescent="0.25">
      <c r="C2254" s="784"/>
    </row>
    <row r="2255" spans="3:3" x14ac:dyDescent="0.25">
      <c r="C2255" s="784"/>
    </row>
    <row r="2256" spans="3:3" x14ac:dyDescent="0.25">
      <c r="C2256" s="784"/>
    </row>
    <row r="2257" spans="3:3" x14ac:dyDescent="0.25">
      <c r="C2257" s="784"/>
    </row>
    <row r="2258" spans="3:3" x14ac:dyDescent="0.25">
      <c r="C2258" s="784"/>
    </row>
    <row r="2259" spans="3:3" x14ac:dyDescent="0.25">
      <c r="C2259" s="784"/>
    </row>
    <row r="2260" spans="3:3" x14ac:dyDescent="0.25">
      <c r="C2260" s="784"/>
    </row>
    <row r="2261" spans="3:3" x14ac:dyDescent="0.25">
      <c r="C2261" s="784"/>
    </row>
    <row r="2262" spans="3:3" x14ac:dyDescent="0.25">
      <c r="C2262" s="784"/>
    </row>
    <row r="2263" spans="3:3" x14ac:dyDescent="0.25">
      <c r="C2263" s="784"/>
    </row>
    <row r="2264" spans="3:3" x14ac:dyDescent="0.25">
      <c r="C2264" s="784"/>
    </row>
    <row r="2265" spans="3:3" x14ac:dyDescent="0.25">
      <c r="C2265" s="784"/>
    </row>
    <row r="2266" spans="3:3" x14ac:dyDescent="0.25">
      <c r="C2266" s="784"/>
    </row>
    <row r="2267" spans="3:3" x14ac:dyDescent="0.25">
      <c r="C2267" s="784"/>
    </row>
    <row r="2268" spans="3:3" x14ac:dyDescent="0.25">
      <c r="C2268" s="784"/>
    </row>
    <row r="2269" spans="3:3" x14ac:dyDescent="0.25">
      <c r="C2269" s="784"/>
    </row>
    <row r="2270" spans="3:3" x14ac:dyDescent="0.25">
      <c r="C2270" s="784"/>
    </row>
    <row r="2271" spans="3:3" x14ac:dyDescent="0.25">
      <c r="C2271" s="784"/>
    </row>
    <row r="2272" spans="3:3" x14ac:dyDescent="0.25">
      <c r="C2272" s="784"/>
    </row>
    <row r="2273" spans="3:3" x14ac:dyDescent="0.25">
      <c r="C2273" s="784"/>
    </row>
    <row r="2274" spans="3:3" x14ac:dyDescent="0.25">
      <c r="C2274" s="784"/>
    </row>
    <row r="2275" spans="3:3" x14ac:dyDescent="0.25">
      <c r="C2275" s="784"/>
    </row>
    <row r="2276" spans="3:3" x14ac:dyDescent="0.25">
      <c r="C2276" s="784"/>
    </row>
    <row r="2277" spans="3:3" x14ac:dyDescent="0.25">
      <c r="C2277" s="784"/>
    </row>
    <row r="2278" spans="3:3" x14ac:dyDescent="0.25">
      <c r="C2278" s="784"/>
    </row>
    <row r="2279" spans="3:3" x14ac:dyDescent="0.25">
      <c r="C2279" s="784"/>
    </row>
    <row r="2280" spans="3:3" x14ac:dyDescent="0.25">
      <c r="C2280" s="784"/>
    </row>
    <row r="2281" spans="3:3" x14ac:dyDescent="0.25">
      <c r="C2281" s="784"/>
    </row>
    <row r="2282" spans="3:3" x14ac:dyDescent="0.25">
      <c r="C2282" s="784"/>
    </row>
    <row r="2283" spans="3:3" x14ac:dyDescent="0.25">
      <c r="C2283" s="784"/>
    </row>
    <row r="2284" spans="3:3" x14ac:dyDescent="0.25">
      <c r="C2284" s="784"/>
    </row>
    <row r="2285" spans="3:3" x14ac:dyDescent="0.25">
      <c r="C2285" s="784"/>
    </row>
    <row r="2286" spans="3:3" x14ac:dyDescent="0.25">
      <c r="C2286" s="784"/>
    </row>
    <row r="2287" spans="3:3" x14ac:dyDescent="0.25">
      <c r="C2287" s="784"/>
    </row>
    <row r="2288" spans="3:3" x14ac:dyDescent="0.25">
      <c r="C2288" s="784"/>
    </row>
    <row r="2289" spans="3:3" x14ac:dyDescent="0.25">
      <c r="C2289" s="784"/>
    </row>
    <row r="2290" spans="3:3" x14ac:dyDescent="0.25">
      <c r="C2290" s="784"/>
    </row>
    <row r="2291" spans="3:3" x14ac:dyDescent="0.25">
      <c r="C2291" s="784"/>
    </row>
    <row r="2292" spans="3:3" x14ac:dyDescent="0.25">
      <c r="C2292" s="784"/>
    </row>
    <row r="2293" spans="3:3" x14ac:dyDescent="0.25">
      <c r="C2293" s="784"/>
    </row>
    <row r="2294" spans="3:3" x14ac:dyDescent="0.25">
      <c r="C2294" s="784"/>
    </row>
    <row r="2295" spans="3:3" x14ac:dyDescent="0.25">
      <c r="C2295" s="784"/>
    </row>
    <row r="2296" spans="3:3" x14ac:dyDescent="0.25">
      <c r="C2296" s="784"/>
    </row>
    <row r="2297" spans="3:3" x14ac:dyDescent="0.25">
      <c r="C2297" s="784"/>
    </row>
    <row r="2298" spans="3:3" x14ac:dyDescent="0.25">
      <c r="C2298" s="784"/>
    </row>
    <row r="2299" spans="3:3" x14ac:dyDescent="0.25">
      <c r="C2299" s="784"/>
    </row>
    <row r="2300" spans="3:3" x14ac:dyDescent="0.25">
      <c r="C2300" s="784"/>
    </row>
    <row r="2301" spans="3:3" x14ac:dyDescent="0.25">
      <c r="C2301" s="784"/>
    </row>
    <row r="2302" spans="3:3" x14ac:dyDescent="0.25">
      <c r="C2302" s="784"/>
    </row>
    <row r="2303" spans="3:3" x14ac:dyDescent="0.25">
      <c r="C2303" s="784"/>
    </row>
    <row r="2304" spans="3:3" x14ac:dyDescent="0.25">
      <c r="C2304" s="784"/>
    </row>
    <row r="2305" spans="3:3" x14ac:dyDescent="0.25">
      <c r="C2305" s="784"/>
    </row>
    <row r="2306" spans="3:3" x14ac:dyDescent="0.25">
      <c r="C2306" s="784"/>
    </row>
    <row r="2307" spans="3:3" x14ac:dyDescent="0.25">
      <c r="C2307" s="784"/>
    </row>
    <row r="2308" spans="3:3" x14ac:dyDescent="0.25">
      <c r="C2308" s="784"/>
    </row>
    <row r="2309" spans="3:3" x14ac:dyDescent="0.25">
      <c r="C2309" s="784"/>
    </row>
    <row r="2310" spans="3:3" x14ac:dyDescent="0.25">
      <c r="C2310" s="784"/>
    </row>
    <row r="2311" spans="3:3" x14ac:dyDescent="0.25">
      <c r="C2311" s="784"/>
    </row>
    <row r="2312" spans="3:3" x14ac:dyDescent="0.25">
      <c r="C2312" s="784"/>
    </row>
    <row r="2313" spans="3:3" x14ac:dyDescent="0.25">
      <c r="C2313" s="784"/>
    </row>
    <row r="2314" spans="3:3" x14ac:dyDescent="0.25">
      <c r="C2314" s="784"/>
    </row>
    <row r="2315" spans="3:3" x14ac:dyDescent="0.25">
      <c r="C2315" s="784"/>
    </row>
    <row r="2316" spans="3:3" x14ac:dyDescent="0.25">
      <c r="C2316" s="784"/>
    </row>
    <row r="2317" spans="3:3" x14ac:dyDescent="0.25">
      <c r="C2317" s="784"/>
    </row>
    <row r="2318" spans="3:3" x14ac:dyDescent="0.25">
      <c r="C2318" s="784"/>
    </row>
    <row r="2319" spans="3:3" x14ac:dyDescent="0.25">
      <c r="C2319" s="784"/>
    </row>
    <row r="2320" spans="3:3" x14ac:dyDescent="0.25">
      <c r="C2320" s="784"/>
    </row>
    <row r="2321" spans="3:3" x14ac:dyDescent="0.25">
      <c r="C2321" s="784"/>
    </row>
    <row r="2322" spans="3:3" x14ac:dyDescent="0.25">
      <c r="C2322" s="784"/>
    </row>
    <row r="2323" spans="3:3" x14ac:dyDescent="0.25">
      <c r="C2323" s="784"/>
    </row>
    <row r="2324" spans="3:3" x14ac:dyDescent="0.25">
      <c r="C2324" s="784"/>
    </row>
    <row r="2325" spans="3:3" x14ac:dyDescent="0.25">
      <c r="C2325" s="784"/>
    </row>
    <row r="2326" spans="3:3" x14ac:dyDescent="0.25">
      <c r="C2326" s="784"/>
    </row>
    <row r="2327" spans="3:3" x14ac:dyDescent="0.25">
      <c r="C2327" s="784"/>
    </row>
    <row r="2328" spans="3:3" x14ac:dyDescent="0.25">
      <c r="C2328" s="784"/>
    </row>
    <row r="2329" spans="3:3" x14ac:dyDescent="0.25">
      <c r="C2329" s="784"/>
    </row>
    <row r="2330" spans="3:3" x14ac:dyDescent="0.25">
      <c r="C2330" s="784"/>
    </row>
    <row r="2331" spans="3:3" x14ac:dyDescent="0.25">
      <c r="C2331" s="784"/>
    </row>
    <row r="2332" spans="3:3" x14ac:dyDescent="0.25">
      <c r="C2332" s="784"/>
    </row>
    <row r="2333" spans="3:3" x14ac:dyDescent="0.25">
      <c r="C2333" s="784"/>
    </row>
    <row r="2334" spans="3:3" x14ac:dyDescent="0.25">
      <c r="C2334" s="784"/>
    </row>
    <row r="2335" spans="3:3" x14ac:dyDescent="0.25">
      <c r="C2335" s="784"/>
    </row>
    <row r="2336" spans="3:3" x14ac:dyDescent="0.25">
      <c r="C2336" s="784"/>
    </row>
    <row r="2337" spans="3:3" x14ac:dyDescent="0.25">
      <c r="C2337" s="784"/>
    </row>
    <row r="2338" spans="3:3" x14ac:dyDescent="0.25">
      <c r="C2338" s="784"/>
    </row>
    <row r="2339" spans="3:3" x14ac:dyDescent="0.25">
      <c r="C2339" s="784"/>
    </row>
    <row r="2340" spans="3:3" x14ac:dyDescent="0.25">
      <c r="C2340" s="784"/>
    </row>
    <row r="2341" spans="3:3" x14ac:dyDescent="0.25">
      <c r="C2341" s="784"/>
    </row>
    <row r="2342" spans="3:3" x14ac:dyDescent="0.25">
      <c r="C2342" s="784"/>
    </row>
    <row r="2343" spans="3:3" x14ac:dyDescent="0.25">
      <c r="C2343" s="784"/>
    </row>
    <row r="2344" spans="3:3" x14ac:dyDescent="0.25">
      <c r="C2344" s="784"/>
    </row>
    <row r="2345" spans="3:3" x14ac:dyDescent="0.25">
      <c r="C2345" s="784"/>
    </row>
    <row r="2346" spans="3:3" x14ac:dyDescent="0.25">
      <c r="C2346" s="784"/>
    </row>
    <row r="2347" spans="3:3" x14ac:dyDescent="0.25">
      <c r="C2347" s="784"/>
    </row>
    <row r="2348" spans="3:3" x14ac:dyDescent="0.25">
      <c r="C2348" s="784"/>
    </row>
    <row r="2349" spans="3:3" x14ac:dyDescent="0.25">
      <c r="C2349" s="784"/>
    </row>
    <row r="2350" spans="3:3" x14ac:dyDescent="0.25">
      <c r="C2350" s="784"/>
    </row>
    <row r="2351" spans="3:3" x14ac:dyDescent="0.25">
      <c r="C2351" s="784"/>
    </row>
    <row r="2352" spans="3:3" x14ac:dyDescent="0.25">
      <c r="C2352" s="784"/>
    </row>
    <row r="2353" spans="3:3" x14ac:dyDescent="0.25">
      <c r="C2353" s="784"/>
    </row>
    <row r="2354" spans="3:3" x14ac:dyDescent="0.25">
      <c r="C2354" s="784"/>
    </row>
    <row r="2355" spans="3:3" x14ac:dyDescent="0.25">
      <c r="C2355" s="784"/>
    </row>
    <row r="2356" spans="3:3" x14ac:dyDescent="0.25">
      <c r="C2356" s="784"/>
    </row>
    <row r="2357" spans="3:3" x14ac:dyDescent="0.25">
      <c r="C2357" s="784"/>
    </row>
    <row r="2358" spans="3:3" x14ac:dyDescent="0.25">
      <c r="C2358" s="784"/>
    </row>
    <row r="2359" spans="3:3" x14ac:dyDescent="0.25">
      <c r="C2359" s="784"/>
    </row>
    <row r="2360" spans="3:3" x14ac:dyDescent="0.25">
      <c r="C2360" s="784"/>
    </row>
    <row r="2361" spans="3:3" x14ac:dyDescent="0.25">
      <c r="C2361" s="784"/>
    </row>
    <row r="2362" spans="3:3" x14ac:dyDescent="0.25">
      <c r="C2362" s="784"/>
    </row>
    <row r="2363" spans="3:3" x14ac:dyDescent="0.25">
      <c r="C2363" s="784"/>
    </row>
    <row r="2364" spans="3:3" x14ac:dyDescent="0.25">
      <c r="C2364" s="784"/>
    </row>
    <row r="2365" spans="3:3" x14ac:dyDescent="0.25">
      <c r="C2365" s="784"/>
    </row>
    <row r="2366" spans="3:3" x14ac:dyDescent="0.25">
      <c r="C2366" s="784"/>
    </row>
    <row r="2367" spans="3:3" x14ac:dyDescent="0.25">
      <c r="C2367" s="784"/>
    </row>
    <row r="2368" spans="3:3" x14ac:dyDescent="0.25">
      <c r="C2368" s="784"/>
    </row>
    <row r="2369" spans="3:3" x14ac:dyDescent="0.25">
      <c r="C2369" s="784"/>
    </row>
    <row r="2370" spans="3:3" x14ac:dyDescent="0.25">
      <c r="C2370" s="784"/>
    </row>
    <row r="2371" spans="3:3" x14ac:dyDescent="0.25">
      <c r="C2371" s="784"/>
    </row>
    <row r="2372" spans="3:3" x14ac:dyDescent="0.25">
      <c r="C2372" s="784"/>
    </row>
    <row r="2373" spans="3:3" x14ac:dyDescent="0.25">
      <c r="C2373" s="784"/>
    </row>
    <row r="2374" spans="3:3" x14ac:dyDescent="0.25">
      <c r="C2374" s="784"/>
    </row>
    <row r="2375" spans="3:3" x14ac:dyDescent="0.25">
      <c r="C2375" s="784"/>
    </row>
    <row r="2376" spans="3:3" x14ac:dyDescent="0.25">
      <c r="C2376" s="784"/>
    </row>
    <row r="2377" spans="3:3" x14ac:dyDescent="0.25">
      <c r="C2377" s="784"/>
    </row>
    <row r="2378" spans="3:3" x14ac:dyDescent="0.25">
      <c r="C2378" s="784"/>
    </row>
    <row r="2379" spans="3:3" x14ac:dyDescent="0.25">
      <c r="C2379" s="784"/>
    </row>
    <row r="2380" spans="3:3" x14ac:dyDescent="0.25">
      <c r="C2380" s="784"/>
    </row>
    <row r="2381" spans="3:3" x14ac:dyDescent="0.25">
      <c r="C2381" s="784"/>
    </row>
    <row r="2382" spans="3:3" x14ac:dyDescent="0.25">
      <c r="C2382" s="784"/>
    </row>
    <row r="2383" spans="3:3" x14ac:dyDescent="0.25">
      <c r="C2383" s="784"/>
    </row>
    <row r="2384" spans="3:3" x14ac:dyDescent="0.25">
      <c r="C2384" s="784"/>
    </row>
    <row r="2385" spans="3:3" x14ac:dyDescent="0.25">
      <c r="C2385" s="784"/>
    </row>
    <row r="2386" spans="3:3" x14ac:dyDescent="0.25">
      <c r="C2386" s="784"/>
    </row>
    <row r="2387" spans="3:3" x14ac:dyDescent="0.25">
      <c r="C2387" s="784"/>
    </row>
    <row r="2388" spans="3:3" x14ac:dyDescent="0.25">
      <c r="C2388" s="784"/>
    </row>
    <row r="2389" spans="3:3" x14ac:dyDescent="0.25">
      <c r="C2389" s="784"/>
    </row>
    <row r="2390" spans="3:3" x14ac:dyDescent="0.25">
      <c r="C2390" s="784"/>
    </row>
    <row r="2391" spans="3:3" x14ac:dyDescent="0.25">
      <c r="C2391" s="784"/>
    </row>
    <row r="2392" spans="3:3" x14ac:dyDescent="0.25">
      <c r="C2392" s="784"/>
    </row>
    <row r="2393" spans="3:3" x14ac:dyDescent="0.25">
      <c r="C2393" s="784"/>
    </row>
    <row r="2394" spans="3:3" x14ac:dyDescent="0.25">
      <c r="C2394" s="784"/>
    </row>
    <row r="2395" spans="3:3" x14ac:dyDescent="0.25">
      <c r="C2395" s="784"/>
    </row>
    <row r="2396" spans="3:3" x14ac:dyDescent="0.25">
      <c r="C2396" s="784"/>
    </row>
    <row r="2397" spans="3:3" x14ac:dyDescent="0.25">
      <c r="C2397" s="784"/>
    </row>
    <row r="2398" spans="3:3" x14ac:dyDescent="0.25">
      <c r="C2398" s="784"/>
    </row>
    <row r="2399" spans="3:3" x14ac:dyDescent="0.25">
      <c r="C2399" s="784"/>
    </row>
    <row r="2400" spans="3:3" x14ac:dyDescent="0.25">
      <c r="C2400" s="784"/>
    </row>
    <row r="2401" spans="3:3" x14ac:dyDescent="0.25">
      <c r="C2401" s="784"/>
    </row>
    <row r="2402" spans="3:3" x14ac:dyDescent="0.25">
      <c r="C2402" s="784"/>
    </row>
    <row r="2403" spans="3:3" x14ac:dyDescent="0.25">
      <c r="C2403" s="784"/>
    </row>
    <row r="2404" spans="3:3" x14ac:dyDescent="0.25">
      <c r="C2404" s="784"/>
    </row>
    <row r="2405" spans="3:3" x14ac:dyDescent="0.25">
      <c r="C2405" s="784"/>
    </row>
    <row r="2406" spans="3:3" x14ac:dyDescent="0.25">
      <c r="C2406" s="784"/>
    </row>
    <row r="2407" spans="3:3" x14ac:dyDescent="0.25">
      <c r="C2407" s="784"/>
    </row>
    <row r="2408" spans="3:3" x14ac:dyDescent="0.25">
      <c r="C2408" s="784"/>
    </row>
    <row r="2409" spans="3:3" x14ac:dyDescent="0.25">
      <c r="C2409" s="784"/>
    </row>
    <row r="2410" spans="3:3" x14ac:dyDescent="0.25">
      <c r="C2410" s="784"/>
    </row>
    <row r="2411" spans="3:3" x14ac:dyDescent="0.25">
      <c r="C2411" s="784"/>
    </row>
    <row r="2412" spans="3:3" x14ac:dyDescent="0.25">
      <c r="C2412" s="784"/>
    </row>
    <row r="2413" spans="3:3" x14ac:dyDescent="0.25">
      <c r="C2413" s="784"/>
    </row>
    <row r="2414" spans="3:3" x14ac:dyDescent="0.25">
      <c r="C2414" s="784"/>
    </row>
    <row r="2415" spans="3:3" x14ac:dyDescent="0.25">
      <c r="C2415" s="784"/>
    </row>
    <row r="2416" spans="3:3" x14ac:dyDescent="0.25">
      <c r="C2416" s="784"/>
    </row>
    <row r="2417" spans="3:3" x14ac:dyDescent="0.25">
      <c r="C2417" s="784"/>
    </row>
    <row r="2418" spans="3:3" x14ac:dyDescent="0.25">
      <c r="C2418" s="784"/>
    </row>
    <row r="2419" spans="3:3" x14ac:dyDescent="0.25">
      <c r="C2419" s="784"/>
    </row>
    <row r="2420" spans="3:3" x14ac:dyDescent="0.25">
      <c r="C2420" s="784"/>
    </row>
    <row r="2421" spans="3:3" x14ac:dyDescent="0.25">
      <c r="C2421" s="784"/>
    </row>
    <row r="2422" spans="3:3" x14ac:dyDescent="0.25">
      <c r="C2422" s="784"/>
    </row>
    <row r="2423" spans="3:3" x14ac:dyDescent="0.25">
      <c r="C2423" s="784"/>
    </row>
    <row r="2424" spans="3:3" x14ac:dyDescent="0.25">
      <c r="C2424" s="784"/>
    </row>
    <row r="2425" spans="3:3" x14ac:dyDescent="0.25">
      <c r="C2425" s="784"/>
    </row>
    <row r="2426" spans="3:3" x14ac:dyDescent="0.25">
      <c r="C2426" s="784"/>
    </row>
    <row r="2427" spans="3:3" x14ac:dyDescent="0.25">
      <c r="C2427" s="784"/>
    </row>
    <row r="2428" spans="3:3" x14ac:dyDescent="0.25">
      <c r="C2428" s="784"/>
    </row>
    <row r="2429" spans="3:3" x14ac:dyDescent="0.25">
      <c r="C2429" s="784"/>
    </row>
    <row r="2430" spans="3:3" x14ac:dyDescent="0.25">
      <c r="C2430" s="784"/>
    </row>
    <row r="2431" spans="3:3" x14ac:dyDescent="0.25">
      <c r="C2431" s="784"/>
    </row>
    <row r="2432" spans="3:3" x14ac:dyDescent="0.25">
      <c r="C2432" s="784"/>
    </row>
    <row r="2433" spans="3:3" x14ac:dyDescent="0.25">
      <c r="C2433" s="784"/>
    </row>
    <row r="2434" spans="3:3" x14ac:dyDescent="0.25">
      <c r="C2434" s="784"/>
    </row>
    <row r="2435" spans="3:3" x14ac:dyDescent="0.25">
      <c r="C2435" s="784"/>
    </row>
    <row r="2436" spans="3:3" x14ac:dyDescent="0.25">
      <c r="C2436" s="784"/>
    </row>
    <row r="2437" spans="3:3" x14ac:dyDescent="0.25">
      <c r="C2437" s="784"/>
    </row>
    <row r="2438" spans="3:3" x14ac:dyDescent="0.25">
      <c r="C2438" s="784"/>
    </row>
    <row r="2439" spans="3:3" x14ac:dyDescent="0.25">
      <c r="C2439" s="784"/>
    </row>
    <row r="2440" spans="3:3" x14ac:dyDescent="0.25">
      <c r="C2440" s="784"/>
    </row>
    <row r="2441" spans="3:3" x14ac:dyDescent="0.25">
      <c r="C2441" s="784"/>
    </row>
    <row r="2442" spans="3:3" x14ac:dyDescent="0.25">
      <c r="C2442" s="784"/>
    </row>
    <row r="2443" spans="3:3" x14ac:dyDescent="0.25">
      <c r="C2443" s="784"/>
    </row>
    <row r="2444" spans="3:3" x14ac:dyDescent="0.25">
      <c r="C2444" s="784"/>
    </row>
    <row r="2445" spans="3:3" x14ac:dyDescent="0.25">
      <c r="C2445" s="784"/>
    </row>
    <row r="2446" spans="3:3" x14ac:dyDescent="0.25">
      <c r="C2446" s="784"/>
    </row>
    <row r="2447" spans="3:3" x14ac:dyDescent="0.25">
      <c r="C2447" s="784"/>
    </row>
    <row r="2448" spans="3:3" x14ac:dyDescent="0.25">
      <c r="C2448" s="784"/>
    </row>
    <row r="2449" spans="3:3" x14ac:dyDescent="0.25">
      <c r="C2449" s="784"/>
    </row>
    <row r="2450" spans="3:3" x14ac:dyDescent="0.25">
      <c r="C2450" s="784"/>
    </row>
    <row r="2451" spans="3:3" x14ac:dyDescent="0.25">
      <c r="C2451" s="784"/>
    </row>
    <row r="2452" spans="3:3" x14ac:dyDescent="0.25">
      <c r="C2452" s="784"/>
    </row>
    <row r="2453" spans="3:3" x14ac:dyDescent="0.25">
      <c r="C2453" s="784"/>
    </row>
    <row r="2454" spans="3:3" x14ac:dyDescent="0.25">
      <c r="C2454" s="784"/>
    </row>
    <row r="2455" spans="3:3" x14ac:dyDescent="0.25">
      <c r="C2455" s="784"/>
    </row>
    <row r="2456" spans="3:3" x14ac:dyDescent="0.25">
      <c r="C2456" s="784"/>
    </row>
    <row r="2457" spans="3:3" x14ac:dyDescent="0.25">
      <c r="C2457" s="784"/>
    </row>
    <row r="2458" spans="3:3" x14ac:dyDescent="0.25">
      <c r="C2458" s="784"/>
    </row>
    <row r="2459" spans="3:3" x14ac:dyDescent="0.25">
      <c r="C2459" s="784"/>
    </row>
    <row r="2460" spans="3:3" x14ac:dyDescent="0.25">
      <c r="C2460" s="784"/>
    </row>
    <row r="2461" spans="3:3" x14ac:dyDescent="0.25">
      <c r="C2461" s="784"/>
    </row>
    <row r="2462" spans="3:3" x14ac:dyDescent="0.25">
      <c r="C2462" s="784"/>
    </row>
    <row r="2463" spans="3:3" x14ac:dyDescent="0.25">
      <c r="C2463" s="784"/>
    </row>
    <row r="2464" spans="3:3" x14ac:dyDescent="0.25">
      <c r="C2464" s="784"/>
    </row>
    <row r="2465" spans="3:3" x14ac:dyDescent="0.25">
      <c r="C2465" s="784"/>
    </row>
    <row r="2466" spans="3:3" x14ac:dyDescent="0.25">
      <c r="C2466" s="784"/>
    </row>
    <row r="2467" spans="3:3" x14ac:dyDescent="0.25">
      <c r="C2467" s="784"/>
    </row>
    <row r="2468" spans="3:3" x14ac:dyDescent="0.25">
      <c r="C2468" s="784"/>
    </row>
    <row r="2469" spans="3:3" x14ac:dyDescent="0.25">
      <c r="C2469" s="784"/>
    </row>
    <row r="2470" spans="3:3" x14ac:dyDescent="0.25">
      <c r="C2470" s="784"/>
    </row>
    <row r="2471" spans="3:3" x14ac:dyDescent="0.25">
      <c r="C2471" s="784"/>
    </row>
    <row r="2472" spans="3:3" x14ac:dyDescent="0.25">
      <c r="C2472" s="784"/>
    </row>
    <row r="2473" spans="3:3" x14ac:dyDescent="0.25">
      <c r="C2473" s="784"/>
    </row>
    <row r="2474" spans="3:3" x14ac:dyDescent="0.25">
      <c r="C2474" s="784"/>
    </row>
    <row r="2475" spans="3:3" x14ac:dyDescent="0.25">
      <c r="C2475" s="784"/>
    </row>
    <row r="2476" spans="3:3" x14ac:dyDescent="0.25">
      <c r="C2476" s="784"/>
    </row>
    <row r="2477" spans="3:3" x14ac:dyDescent="0.25">
      <c r="C2477" s="784"/>
    </row>
    <row r="2478" spans="3:3" x14ac:dyDescent="0.25">
      <c r="C2478" s="784"/>
    </row>
    <row r="2479" spans="3:3" x14ac:dyDescent="0.25">
      <c r="C2479" s="784"/>
    </row>
    <row r="2480" spans="3:3" x14ac:dyDescent="0.25">
      <c r="C2480" s="784"/>
    </row>
    <row r="2481" spans="3:3" x14ac:dyDescent="0.25">
      <c r="C2481" s="784"/>
    </row>
    <row r="2482" spans="3:3" x14ac:dyDescent="0.25">
      <c r="C2482" s="784"/>
    </row>
    <row r="2483" spans="3:3" x14ac:dyDescent="0.25">
      <c r="C2483" s="784"/>
    </row>
    <row r="2484" spans="3:3" x14ac:dyDescent="0.25">
      <c r="C2484" s="784"/>
    </row>
    <row r="2485" spans="3:3" x14ac:dyDescent="0.25">
      <c r="C2485" s="784"/>
    </row>
    <row r="2486" spans="3:3" x14ac:dyDescent="0.25">
      <c r="C2486" s="784"/>
    </row>
    <row r="2487" spans="3:3" x14ac:dyDescent="0.25">
      <c r="C2487" s="784"/>
    </row>
    <row r="2488" spans="3:3" x14ac:dyDescent="0.25">
      <c r="C2488" s="784"/>
    </row>
    <row r="2489" spans="3:3" x14ac:dyDescent="0.25">
      <c r="C2489" s="784"/>
    </row>
    <row r="2490" spans="3:3" x14ac:dyDescent="0.25">
      <c r="C2490" s="784"/>
    </row>
    <row r="2491" spans="3:3" x14ac:dyDescent="0.25">
      <c r="C2491" s="784"/>
    </row>
    <row r="2492" spans="3:3" x14ac:dyDescent="0.25">
      <c r="C2492" s="784"/>
    </row>
    <row r="2493" spans="3:3" x14ac:dyDescent="0.25">
      <c r="C2493" s="784"/>
    </row>
    <row r="2494" spans="3:3" x14ac:dyDescent="0.25">
      <c r="C2494" s="784"/>
    </row>
    <row r="2495" spans="3:3" x14ac:dyDescent="0.25">
      <c r="C2495" s="784"/>
    </row>
    <row r="2496" spans="3:3" x14ac:dyDescent="0.25">
      <c r="C2496" s="784"/>
    </row>
    <row r="2497" spans="3:3" x14ac:dyDescent="0.25">
      <c r="C2497" s="784"/>
    </row>
    <row r="2498" spans="3:3" x14ac:dyDescent="0.25">
      <c r="C2498" s="784"/>
    </row>
    <row r="2499" spans="3:3" x14ac:dyDescent="0.25">
      <c r="C2499" s="784"/>
    </row>
    <row r="2500" spans="3:3" x14ac:dyDescent="0.25">
      <c r="C2500" s="784"/>
    </row>
    <row r="2501" spans="3:3" x14ac:dyDescent="0.25">
      <c r="C2501" s="784"/>
    </row>
    <row r="2502" spans="3:3" x14ac:dyDescent="0.25">
      <c r="C2502" s="784"/>
    </row>
    <row r="2503" spans="3:3" x14ac:dyDescent="0.25">
      <c r="C2503" s="784"/>
    </row>
    <row r="2504" spans="3:3" x14ac:dyDescent="0.25">
      <c r="C2504" s="784"/>
    </row>
    <row r="2505" spans="3:3" x14ac:dyDescent="0.25">
      <c r="C2505" s="784"/>
    </row>
    <row r="2506" spans="3:3" x14ac:dyDescent="0.25">
      <c r="C2506" s="784"/>
    </row>
    <row r="2507" spans="3:3" x14ac:dyDescent="0.25">
      <c r="C2507" s="784"/>
    </row>
    <row r="2508" spans="3:3" x14ac:dyDescent="0.25">
      <c r="C2508" s="784"/>
    </row>
    <row r="2509" spans="3:3" x14ac:dyDescent="0.25">
      <c r="C2509" s="784"/>
    </row>
    <row r="2510" spans="3:3" x14ac:dyDescent="0.25">
      <c r="C2510" s="784"/>
    </row>
    <row r="2511" spans="3:3" x14ac:dyDescent="0.25">
      <c r="C2511" s="784"/>
    </row>
    <row r="2512" spans="3:3" x14ac:dyDescent="0.25">
      <c r="C2512" s="784"/>
    </row>
    <row r="2513" spans="3:3" x14ac:dyDescent="0.25">
      <c r="C2513" s="784"/>
    </row>
    <row r="2514" spans="3:3" x14ac:dyDescent="0.25">
      <c r="C2514" s="784"/>
    </row>
    <row r="2515" spans="3:3" x14ac:dyDescent="0.25">
      <c r="C2515" s="784"/>
    </row>
    <row r="2516" spans="3:3" x14ac:dyDescent="0.25">
      <c r="C2516" s="784"/>
    </row>
    <row r="2517" spans="3:3" x14ac:dyDescent="0.25">
      <c r="C2517" s="784"/>
    </row>
    <row r="2518" spans="3:3" x14ac:dyDescent="0.25">
      <c r="C2518" s="784"/>
    </row>
    <row r="2519" spans="3:3" x14ac:dyDescent="0.25">
      <c r="C2519" s="784"/>
    </row>
    <row r="2520" spans="3:3" x14ac:dyDescent="0.25">
      <c r="C2520" s="784"/>
    </row>
    <row r="2521" spans="3:3" x14ac:dyDescent="0.25">
      <c r="C2521" s="784"/>
    </row>
    <row r="2522" spans="3:3" x14ac:dyDescent="0.25">
      <c r="C2522" s="784"/>
    </row>
    <row r="2523" spans="3:3" x14ac:dyDescent="0.25">
      <c r="C2523" s="784"/>
    </row>
    <row r="2524" spans="3:3" x14ac:dyDescent="0.25">
      <c r="C2524" s="784"/>
    </row>
    <row r="2525" spans="3:3" x14ac:dyDescent="0.25">
      <c r="C2525" s="784"/>
    </row>
    <row r="2526" spans="3:3" x14ac:dyDescent="0.25">
      <c r="C2526" s="784"/>
    </row>
    <row r="2527" spans="3:3" x14ac:dyDescent="0.25">
      <c r="C2527" s="784"/>
    </row>
    <row r="2528" spans="3:3" x14ac:dyDescent="0.25">
      <c r="C2528" s="784"/>
    </row>
    <row r="2529" spans="3:3" x14ac:dyDescent="0.25">
      <c r="C2529" s="784"/>
    </row>
    <row r="2530" spans="3:3" x14ac:dyDescent="0.25">
      <c r="C2530" s="784"/>
    </row>
    <row r="2531" spans="3:3" x14ac:dyDescent="0.25">
      <c r="C2531" s="784"/>
    </row>
    <row r="2532" spans="3:3" x14ac:dyDescent="0.25">
      <c r="C2532" s="784"/>
    </row>
    <row r="2533" spans="3:3" x14ac:dyDescent="0.25">
      <c r="C2533" s="784"/>
    </row>
    <row r="2534" spans="3:3" x14ac:dyDescent="0.25">
      <c r="C2534" s="784"/>
    </row>
    <row r="2535" spans="3:3" x14ac:dyDescent="0.25">
      <c r="C2535" s="784"/>
    </row>
    <row r="2536" spans="3:3" x14ac:dyDescent="0.25">
      <c r="C2536" s="784"/>
    </row>
    <row r="2537" spans="3:3" x14ac:dyDescent="0.25">
      <c r="C2537" s="784"/>
    </row>
    <row r="2538" spans="3:3" x14ac:dyDescent="0.25">
      <c r="C2538" s="784"/>
    </row>
    <row r="2539" spans="3:3" x14ac:dyDescent="0.25">
      <c r="C2539" s="784"/>
    </row>
    <row r="2540" spans="3:3" x14ac:dyDescent="0.25">
      <c r="C2540" s="784"/>
    </row>
    <row r="2541" spans="3:3" x14ac:dyDescent="0.25">
      <c r="C2541" s="784"/>
    </row>
    <row r="2542" spans="3:3" x14ac:dyDescent="0.25">
      <c r="C2542" s="784"/>
    </row>
    <row r="2543" spans="3:3" x14ac:dyDescent="0.25">
      <c r="C2543" s="784"/>
    </row>
    <row r="2544" spans="3:3" x14ac:dyDescent="0.25">
      <c r="C2544" s="784"/>
    </row>
    <row r="2545" spans="3:3" x14ac:dyDescent="0.25">
      <c r="C2545" s="784"/>
    </row>
    <row r="2546" spans="3:3" x14ac:dyDescent="0.25">
      <c r="C2546" s="784"/>
    </row>
    <row r="2547" spans="3:3" x14ac:dyDescent="0.25">
      <c r="C2547" s="784"/>
    </row>
    <row r="2548" spans="3:3" x14ac:dyDescent="0.25">
      <c r="C2548" s="784"/>
    </row>
    <row r="2549" spans="3:3" x14ac:dyDescent="0.25">
      <c r="C2549" s="784"/>
    </row>
    <row r="2550" spans="3:3" x14ac:dyDescent="0.25">
      <c r="C2550" s="784"/>
    </row>
    <row r="2551" spans="3:3" x14ac:dyDescent="0.25">
      <c r="C2551" s="784"/>
    </row>
    <row r="2552" spans="3:3" x14ac:dyDescent="0.25">
      <c r="C2552" s="784"/>
    </row>
    <row r="2553" spans="3:3" x14ac:dyDescent="0.25">
      <c r="C2553" s="784"/>
    </row>
    <row r="2554" spans="3:3" x14ac:dyDescent="0.25">
      <c r="C2554" s="784"/>
    </row>
    <row r="2555" spans="3:3" x14ac:dyDescent="0.25">
      <c r="C2555" s="784"/>
    </row>
    <row r="2556" spans="3:3" x14ac:dyDescent="0.25">
      <c r="C2556" s="784"/>
    </row>
    <row r="2557" spans="3:3" x14ac:dyDescent="0.25">
      <c r="C2557" s="784"/>
    </row>
    <row r="2558" spans="3:3" x14ac:dyDescent="0.25">
      <c r="C2558" s="784"/>
    </row>
    <row r="2559" spans="3:3" x14ac:dyDescent="0.25">
      <c r="C2559" s="784"/>
    </row>
    <row r="2560" spans="3:3" x14ac:dyDescent="0.25">
      <c r="C2560" s="784"/>
    </row>
    <row r="2561" spans="3:3" x14ac:dyDescent="0.25">
      <c r="C2561" s="784"/>
    </row>
    <row r="2562" spans="3:3" x14ac:dyDescent="0.25">
      <c r="C2562" s="784"/>
    </row>
    <row r="2563" spans="3:3" x14ac:dyDescent="0.25">
      <c r="C2563" s="784"/>
    </row>
    <row r="2564" spans="3:3" x14ac:dyDescent="0.25">
      <c r="C2564" s="784"/>
    </row>
    <row r="2565" spans="3:3" x14ac:dyDescent="0.25">
      <c r="C2565" s="784"/>
    </row>
    <row r="2566" spans="3:3" x14ac:dyDescent="0.25">
      <c r="C2566" s="784"/>
    </row>
    <row r="2567" spans="3:3" x14ac:dyDescent="0.25">
      <c r="C2567" s="784"/>
    </row>
    <row r="2568" spans="3:3" x14ac:dyDescent="0.25">
      <c r="C2568" s="784"/>
    </row>
    <row r="2569" spans="3:3" x14ac:dyDescent="0.25">
      <c r="C2569" s="784"/>
    </row>
    <row r="2570" spans="3:3" x14ac:dyDescent="0.25">
      <c r="C2570" s="784"/>
    </row>
    <row r="2571" spans="3:3" x14ac:dyDescent="0.25">
      <c r="C2571" s="784"/>
    </row>
    <row r="2572" spans="3:3" x14ac:dyDescent="0.25">
      <c r="C2572" s="784"/>
    </row>
    <row r="2573" spans="3:3" x14ac:dyDescent="0.25">
      <c r="C2573" s="784"/>
    </row>
    <row r="2574" spans="3:3" x14ac:dyDescent="0.25">
      <c r="C2574" s="784"/>
    </row>
    <row r="2575" spans="3:3" x14ac:dyDescent="0.25">
      <c r="C2575" s="784"/>
    </row>
    <row r="2576" spans="3:3" x14ac:dyDescent="0.25">
      <c r="C2576" s="784"/>
    </row>
    <row r="2577" spans="3:3" x14ac:dyDescent="0.25">
      <c r="C2577" s="784"/>
    </row>
    <row r="2578" spans="3:3" x14ac:dyDescent="0.25">
      <c r="C2578" s="784"/>
    </row>
    <row r="2579" spans="3:3" x14ac:dyDescent="0.25">
      <c r="C2579" s="784"/>
    </row>
    <row r="2580" spans="3:3" x14ac:dyDescent="0.25">
      <c r="C2580" s="784"/>
    </row>
    <row r="2581" spans="3:3" x14ac:dyDescent="0.25">
      <c r="C2581" s="784"/>
    </row>
    <row r="2582" spans="3:3" x14ac:dyDescent="0.25">
      <c r="C2582" s="784"/>
    </row>
    <row r="2583" spans="3:3" x14ac:dyDescent="0.25">
      <c r="C2583" s="784"/>
    </row>
    <row r="2584" spans="3:3" x14ac:dyDescent="0.25">
      <c r="C2584" s="784"/>
    </row>
    <row r="2585" spans="3:3" x14ac:dyDescent="0.25">
      <c r="C2585" s="784"/>
    </row>
    <row r="2586" spans="3:3" x14ac:dyDescent="0.25">
      <c r="C2586" s="784"/>
    </row>
    <row r="2587" spans="3:3" x14ac:dyDescent="0.25">
      <c r="C2587" s="784"/>
    </row>
    <row r="2588" spans="3:3" x14ac:dyDescent="0.25">
      <c r="C2588" s="784"/>
    </row>
    <row r="2589" spans="3:3" x14ac:dyDescent="0.25">
      <c r="C2589" s="784"/>
    </row>
    <row r="2590" spans="3:3" x14ac:dyDescent="0.25">
      <c r="C2590" s="784"/>
    </row>
    <row r="2591" spans="3:3" x14ac:dyDescent="0.25">
      <c r="C2591" s="784"/>
    </row>
    <row r="2592" spans="3:3" x14ac:dyDescent="0.25">
      <c r="C2592" s="784"/>
    </row>
    <row r="2593" spans="3:3" x14ac:dyDescent="0.25">
      <c r="C2593" s="784"/>
    </row>
    <row r="2594" spans="3:3" x14ac:dyDescent="0.25">
      <c r="C2594" s="784"/>
    </row>
    <row r="2595" spans="3:3" x14ac:dyDescent="0.25">
      <c r="C2595" s="784"/>
    </row>
    <row r="2596" spans="3:3" x14ac:dyDescent="0.25">
      <c r="C2596" s="784"/>
    </row>
    <row r="2597" spans="3:3" x14ac:dyDescent="0.25">
      <c r="C2597" s="784"/>
    </row>
    <row r="2598" spans="3:3" x14ac:dyDescent="0.25">
      <c r="C2598" s="784"/>
    </row>
    <row r="2599" spans="3:3" x14ac:dyDescent="0.25">
      <c r="C2599" s="784"/>
    </row>
    <row r="2600" spans="3:3" x14ac:dyDescent="0.25">
      <c r="C2600" s="784"/>
    </row>
    <row r="2601" spans="3:3" x14ac:dyDescent="0.25">
      <c r="C2601" s="784"/>
    </row>
    <row r="2602" spans="3:3" x14ac:dyDescent="0.25">
      <c r="C2602" s="784"/>
    </row>
    <row r="2603" spans="3:3" x14ac:dyDescent="0.25">
      <c r="C2603" s="784"/>
    </row>
    <row r="2604" spans="3:3" x14ac:dyDescent="0.25">
      <c r="C2604" s="784"/>
    </row>
    <row r="2605" spans="3:3" x14ac:dyDescent="0.25">
      <c r="C2605" s="784"/>
    </row>
    <row r="2606" spans="3:3" x14ac:dyDescent="0.25">
      <c r="C2606" s="784"/>
    </row>
    <row r="2607" spans="3:3" x14ac:dyDescent="0.25">
      <c r="C2607" s="784"/>
    </row>
    <row r="2608" spans="3:3" x14ac:dyDescent="0.25">
      <c r="C2608" s="784"/>
    </row>
    <row r="2609" spans="3:3" x14ac:dyDescent="0.25">
      <c r="C2609" s="784"/>
    </row>
    <row r="2610" spans="3:3" x14ac:dyDescent="0.25">
      <c r="C2610" s="784"/>
    </row>
    <row r="2611" spans="3:3" x14ac:dyDescent="0.25">
      <c r="C2611" s="784"/>
    </row>
    <row r="2612" spans="3:3" x14ac:dyDescent="0.25">
      <c r="C2612" s="784"/>
    </row>
    <row r="2613" spans="3:3" x14ac:dyDescent="0.25">
      <c r="C2613" s="784"/>
    </row>
    <row r="2614" spans="3:3" x14ac:dyDescent="0.25">
      <c r="C2614" s="784"/>
    </row>
    <row r="2615" spans="3:3" x14ac:dyDescent="0.25">
      <c r="C2615" s="784"/>
    </row>
    <row r="2616" spans="3:3" x14ac:dyDescent="0.25">
      <c r="C2616" s="784"/>
    </row>
    <row r="2617" spans="3:3" x14ac:dyDescent="0.25">
      <c r="C2617" s="784"/>
    </row>
    <row r="2618" spans="3:3" x14ac:dyDescent="0.25">
      <c r="C2618" s="784"/>
    </row>
    <row r="2619" spans="3:3" x14ac:dyDescent="0.25">
      <c r="C2619" s="784"/>
    </row>
    <row r="2620" spans="3:3" x14ac:dyDescent="0.25">
      <c r="C2620" s="784"/>
    </row>
    <row r="2621" spans="3:3" x14ac:dyDescent="0.25">
      <c r="C2621" s="784"/>
    </row>
    <row r="2622" spans="3:3" x14ac:dyDescent="0.25">
      <c r="C2622" s="784"/>
    </row>
    <row r="2623" spans="3:3" x14ac:dyDescent="0.25">
      <c r="C2623" s="784"/>
    </row>
    <row r="2624" spans="3:3" x14ac:dyDescent="0.25">
      <c r="C2624" s="784"/>
    </row>
    <row r="2625" spans="3:3" x14ac:dyDescent="0.25">
      <c r="C2625" s="784"/>
    </row>
    <row r="2626" spans="3:3" x14ac:dyDescent="0.25">
      <c r="C2626" s="784"/>
    </row>
    <row r="2627" spans="3:3" x14ac:dyDescent="0.25">
      <c r="C2627" s="784"/>
    </row>
    <row r="2628" spans="3:3" x14ac:dyDescent="0.25">
      <c r="C2628" s="784"/>
    </row>
    <row r="2629" spans="3:3" x14ac:dyDescent="0.25">
      <c r="C2629" s="784"/>
    </row>
    <row r="2630" spans="3:3" x14ac:dyDescent="0.25">
      <c r="C2630" s="784"/>
    </row>
    <row r="2631" spans="3:3" x14ac:dyDescent="0.25">
      <c r="C2631" s="784"/>
    </row>
    <row r="2632" spans="3:3" x14ac:dyDescent="0.25">
      <c r="C2632" s="784"/>
    </row>
    <row r="2633" spans="3:3" x14ac:dyDescent="0.25">
      <c r="C2633" s="784"/>
    </row>
    <row r="2634" spans="3:3" x14ac:dyDescent="0.25">
      <c r="C2634" s="784"/>
    </row>
    <row r="2635" spans="3:3" x14ac:dyDescent="0.25">
      <c r="C2635" s="784"/>
    </row>
    <row r="2636" spans="3:3" x14ac:dyDescent="0.25">
      <c r="C2636" s="784"/>
    </row>
    <row r="2637" spans="3:3" x14ac:dyDescent="0.25">
      <c r="C2637" s="784"/>
    </row>
    <row r="2638" spans="3:3" x14ac:dyDescent="0.25">
      <c r="C2638" s="784"/>
    </row>
    <row r="2639" spans="3:3" x14ac:dyDescent="0.25">
      <c r="C2639" s="784"/>
    </row>
    <row r="2640" spans="3:3" x14ac:dyDescent="0.25">
      <c r="C2640" s="784"/>
    </row>
    <row r="2641" spans="3:3" x14ac:dyDescent="0.25">
      <c r="C2641" s="784"/>
    </row>
    <row r="2642" spans="3:3" x14ac:dyDescent="0.25">
      <c r="C2642" s="784"/>
    </row>
    <row r="2643" spans="3:3" x14ac:dyDescent="0.25">
      <c r="C2643" s="784"/>
    </row>
    <row r="2644" spans="3:3" x14ac:dyDescent="0.25">
      <c r="C2644" s="784"/>
    </row>
    <row r="2645" spans="3:3" x14ac:dyDescent="0.25">
      <c r="C2645" s="784"/>
    </row>
    <row r="2646" spans="3:3" x14ac:dyDescent="0.25">
      <c r="C2646" s="784"/>
    </row>
    <row r="2647" spans="3:3" x14ac:dyDescent="0.25">
      <c r="C2647" s="784"/>
    </row>
    <row r="2648" spans="3:3" x14ac:dyDescent="0.25">
      <c r="C2648" s="784"/>
    </row>
    <row r="2649" spans="3:3" x14ac:dyDescent="0.25">
      <c r="C2649" s="784"/>
    </row>
    <row r="2650" spans="3:3" x14ac:dyDescent="0.25">
      <c r="C2650" s="784"/>
    </row>
    <row r="2651" spans="3:3" x14ac:dyDescent="0.25">
      <c r="C2651" s="784"/>
    </row>
    <row r="2652" spans="3:3" x14ac:dyDescent="0.25">
      <c r="C2652" s="784"/>
    </row>
    <row r="2653" spans="3:3" x14ac:dyDescent="0.25">
      <c r="C2653" s="784"/>
    </row>
    <row r="2654" spans="3:3" x14ac:dyDescent="0.25">
      <c r="C2654" s="784"/>
    </row>
    <row r="2655" spans="3:3" x14ac:dyDescent="0.25">
      <c r="C2655" s="784"/>
    </row>
    <row r="2656" spans="3:3" x14ac:dyDescent="0.25">
      <c r="C2656" s="784"/>
    </row>
    <row r="2657" spans="3:3" x14ac:dyDescent="0.25">
      <c r="C2657" s="784"/>
    </row>
    <row r="2658" spans="3:3" x14ac:dyDescent="0.25">
      <c r="C2658" s="784"/>
    </row>
    <row r="2659" spans="3:3" x14ac:dyDescent="0.25">
      <c r="C2659" s="784"/>
    </row>
    <row r="2660" spans="3:3" x14ac:dyDescent="0.25">
      <c r="C2660" s="784"/>
    </row>
    <row r="2661" spans="3:3" x14ac:dyDescent="0.25">
      <c r="C2661" s="784"/>
    </row>
    <row r="2662" spans="3:3" x14ac:dyDescent="0.25">
      <c r="C2662" s="784"/>
    </row>
    <row r="2663" spans="3:3" x14ac:dyDescent="0.25">
      <c r="C2663" s="784"/>
    </row>
    <row r="2664" spans="3:3" x14ac:dyDescent="0.25">
      <c r="C2664" s="784"/>
    </row>
    <row r="2665" spans="3:3" x14ac:dyDescent="0.25">
      <c r="C2665" s="784"/>
    </row>
    <row r="2666" spans="3:3" x14ac:dyDescent="0.25">
      <c r="C2666" s="784"/>
    </row>
    <row r="2667" spans="3:3" x14ac:dyDescent="0.25">
      <c r="C2667" s="784"/>
    </row>
    <row r="2668" spans="3:3" x14ac:dyDescent="0.25">
      <c r="C2668" s="784"/>
    </row>
    <row r="2669" spans="3:3" x14ac:dyDescent="0.25">
      <c r="C2669" s="784"/>
    </row>
    <row r="2670" spans="3:3" x14ac:dyDescent="0.25">
      <c r="C2670" s="784"/>
    </row>
    <row r="2671" spans="3:3" x14ac:dyDescent="0.25">
      <c r="C2671" s="784"/>
    </row>
    <row r="2672" spans="3:3" x14ac:dyDescent="0.25">
      <c r="C2672" s="784"/>
    </row>
    <row r="2673" spans="3:3" x14ac:dyDescent="0.25">
      <c r="C2673" s="784"/>
    </row>
    <row r="2674" spans="3:3" x14ac:dyDescent="0.25">
      <c r="C2674" s="784"/>
    </row>
    <row r="2675" spans="3:3" x14ac:dyDescent="0.25">
      <c r="C2675" s="784"/>
    </row>
    <row r="2676" spans="3:3" x14ac:dyDescent="0.25">
      <c r="C2676" s="784"/>
    </row>
    <row r="2677" spans="3:3" x14ac:dyDescent="0.25">
      <c r="C2677" s="784"/>
    </row>
    <row r="2678" spans="3:3" x14ac:dyDescent="0.25">
      <c r="C2678" s="784"/>
    </row>
    <row r="2679" spans="3:3" x14ac:dyDescent="0.25">
      <c r="C2679" s="784"/>
    </row>
    <row r="2680" spans="3:3" x14ac:dyDescent="0.25">
      <c r="C2680" s="784"/>
    </row>
    <row r="2681" spans="3:3" x14ac:dyDescent="0.25">
      <c r="C2681" s="784"/>
    </row>
    <row r="2682" spans="3:3" x14ac:dyDescent="0.25">
      <c r="C2682" s="784"/>
    </row>
    <row r="2683" spans="3:3" x14ac:dyDescent="0.25">
      <c r="C2683" s="784"/>
    </row>
    <row r="2684" spans="3:3" x14ac:dyDescent="0.25">
      <c r="C2684" s="784"/>
    </row>
    <row r="2685" spans="3:3" x14ac:dyDescent="0.25">
      <c r="C2685" s="784"/>
    </row>
    <row r="2686" spans="3:3" x14ac:dyDescent="0.25">
      <c r="C2686" s="784"/>
    </row>
    <row r="2687" spans="3:3" x14ac:dyDescent="0.25">
      <c r="C2687" s="784"/>
    </row>
    <row r="2688" spans="3:3" x14ac:dyDescent="0.25">
      <c r="C2688" s="784"/>
    </row>
    <row r="2689" spans="3:3" x14ac:dyDescent="0.25">
      <c r="C2689" s="784"/>
    </row>
    <row r="2690" spans="3:3" x14ac:dyDescent="0.25">
      <c r="C2690" s="784"/>
    </row>
    <row r="2691" spans="3:3" x14ac:dyDescent="0.25">
      <c r="C2691" s="784"/>
    </row>
    <row r="2692" spans="3:3" x14ac:dyDescent="0.25">
      <c r="C2692" s="784"/>
    </row>
    <row r="2693" spans="3:3" x14ac:dyDescent="0.25">
      <c r="C2693" s="784"/>
    </row>
    <row r="2694" spans="3:3" x14ac:dyDescent="0.25">
      <c r="C2694" s="784"/>
    </row>
    <row r="2695" spans="3:3" x14ac:dyDescent="0.25">
      <c r="C2695" s="784"/>
    </row>
    <row r="2696" spans="3:3" x14ac:dyDescent="0.25">
      <c r="C2696" s="784"/>
    </row>
    <row r="2697" spans="3:3" x14ac:dyDescent="0.25">
      <c r="C2697" s="784"/>
    </row>
    <row r="2698" spans="3:3" x14ac:dyDescent="0.25">
      <c r="C2698" s="784"/>
    </row>
    <row r="2699" spans="3:3" x14ac:dyDescent="0.25">
      <c r="C2699" s="784"/>
    </row>
    <row r="2700" spans="3:3" x14ac:dyDescent="0.25">
      <c r="C2700" s="784"/>
    </row>
    <row r="2701" spans="3:3" x14ac:dyDescent="0.25">
      <c r="C2701" s="784"/>
    </row>
    <row r="2702" spans="3:3" x14ac:dyDescent="0.25">
      <c r="C2702" s="784"/>
    </row>
    <row r="2703" spans="3:3" x14ac:dyDescent="0.25">
      <c r="C2703" s="784"/>
    </row>
    <row r="2704" spans="3:3" x14ac:dyDescent="0.25">
      <c r="C2704" s="784"/>
    </row>
    <row r="2705" spans="3:3" x14ac:dyDescent="0.25">
      <c r="C2705" s="784"/>
    </row>
    <row r="2706" spans="3:3" x14ac:dyDescent="0.25">
      <c r="C2706" s="784"/>
    </row>
    <row r="2707" spans="3:3" x14ac:dyDescent="0.25">
      <c r="C2707" s="784"/>
    </row>
    <row r="2708" spans="3:3" x14ac:dyDescent="0.25">
      <c r="C2708" s="784"/>
    </row>
    <row r="2709" spans="3:3" x14ac:dyDescent="0.25">
      <c r="C2709" s="784"/>
    </row>
    <row r="2710" spans="3:3" x14ac:dyDescent="0.25">
      <c r="C2710" s="784"/>
    </row>
    <row r="2711" spans="3:3" x14ac:dyDescent="0.25">
      <c r="C2711" s="784"/>
    </row>
    <row r="2712" spans="3:3" x14ac:dyDescent="0.25">
      <c r="C2712" s="784"/>
    </row>
    <row r="2713" spans="3:3" x14ac:dyDescent="0.25">
      <c r="C2713" s="784"/>
    </row>
    <row r="2714" spans="3:3" x14ac:dyDescent="0.25">
      <c r="C2714" s="784"/>
    </row>
    <row r="2715" spans="3:3" x14ac:dyDescent="0.25">
      <c r="C2715" s="784"/>
    </row>
    <row r="2716" spans="3:3" x14ac:dyDescent="0.25">
      <c r="C2716" s="784"/>
    </row>
    <row r="2717" spans="3:3" x14ac:dyDescent="0.25">
      <c r="C2717" s="784"/>
    </row>
    <row r="2718" spans="3:3" x14ac:dyDescent="0.25">
      <c r="C2718" s="784"/>
    </row>
    <row r="2719" spans="3:3" x14ac:dyDescent="0.25">
      <c r="C2719" s="784"/>
    </row>
    <row r="2720" spans="3:3" x14ac:dyDescent="0.25">
      <c r="C2720" s="784"/>
    </row>
    <row r="2721" spans="3:3" x14ac:dyDescent="0.25">
      <c r="C2721" s="784"/>
    </row>
    <row r="2722" spans="3:3" x14ac:dyDescent="0.25">
      <c r="C2722" s="784"/>
    </row>
    <row r="2723" spans="3:3" x14ac:dyDescent="0.25">
      <c r="C2723" s="784"/>
    </row>
    <row r="2724" spans="3:3" x14ac:dyDescent="0.25">
      <c r="C2724" s="784"/>
    </row>
    <row r="2725" spans="3:3" x14ac:dyDescent="0.25">
      <c r="C2725" s="784"/>
    </row>
    <row r="2726" spans="3:3" x14ac:dyDescent="0.25">
      <c r="C2726" s="784"/>
    </row>
    <row r="2727" spans="3:3" x14ac:dyDescent="0.25">
      <c r="C2727" s="784"/>
    </row>
    <row r="2728" spans="3:3" x14ac:dyDescent="0.25">
      <c r="C2728" s="784"/>
    </row>
    <row r="2729" spans="3:3" x14ac:dyDescent="0.25">
      <c r="C2729" s="784"/>
    </row>
    <row r="2730" spans="3:3" x14ac:dyDescent="0.25">
      <c r="C2730" s="784"/>
    </row>
    <row r="2731" spans="3:3" x14ac:dyDescent="0.25">
      <c r="C2731" s="784"/>
    </row>
    <row r="2732" spans="3:3" x14ac:dyDescent="0.25">
      <c r="C2732" s="784"/>
    </row>
    <row r="2733" spans="3:3" x14ac:dyDescent="0.25">
      <c r="C2733" s="784"/>
    </row>
    <row r="2734" spans="3:3" x14ac:dyDescent="0.25">
      <c r="C2734" s="784"/>
    </row>
    <row r="2735" spans="3:3" x14ac:dyDescent="0.25">
      <c r="C2735" s="784"/>
    </row>
    <row r="2736" spans="3:3" x14ac:dyDescent="0.25">
      <c r="C2736" s="784"/>
    </row>
    <row r="2737" spans="3:3" x14ac:dyDescent="0.25">
      <c r="C2737" s="784"/>
    </row>
    <row r="2738" spans="3:3" x14ac:dyDescent="0.25">
      <c r="C2738" s="784"/>
    </row>
    <row r="2739" spans="3:3" x14ac:dyDescent="0.25">
      <c r="C2739" s="784"/>
    </row>
    <row r="2740" spans="3:3" x14ac:dyDescent="0.25">
      <c r="C2740" s="784"/>
    </row>
    <row r="2741" spans="3:3" x14ac:dyDescent="0.25">
      <c r="C2741" s="784"/>
    </row>
    <row r="2742" spans="3:3" x14ac:dyDescent="0.25">
      <c r="C2742" s="784"/>
    </row>
    <row r="2743" spans="3:3" x14ac:dyDescent="0.25">
      <c r="C2743" s="784"/>
    </row>
    <row r="2744" spans="3:3" x14ac:dyDescent="0.25">
      <c r="C2744" s="784"/>
    </row>
    <row r="2745" spans="3:3" x14ac:dyDescent="0.25">
      <c r="C2745" s="784"/>
    </row>
    <row r="2746" spans="3:3" x14ac:dyDescent="0.25">
      <c r="C2746" s="784"/>
    </row>
    <row r="2747" spans="3:3" x14ac:dyDescent="0.25">
      <c r="C2747" s="784"/>
    </row>
    <row r="2748" spans="3:3" x14ac:dyDescent="0.25">
      <c r="C2748" s="784"/>
    </row>
    <row r="2749" spans="3:3" x14ac:dyDescent="0.25">
      <c r="C2749" s="784"/>
    </row>
    <row r="2750" spans="3:3" x14ac:dyDescent="0.25">
      <c r="C2750" s="784"/>
    </row>
    <row r="2751" spans="3:3" x14ac:dyDescent="0.25">
      <c r="C2751" s="784"/>
    </row>
    <row r="2752" spans="3:3" x14ac:dyDescent="0.25">
      <c r="C2752" s="784"/>
    </row>
    <row r="2753" spans="3:3" x14ac:dyDescent="0.25">
      <c r="C2753" s="784"/>
    </row>
    <row r="2754" spans="3:3" x14ac:dyDescent="0.25">
      <c r="C2754" s="784"/>
    </row>
    <row r="2755" spans="3:3" x14ac:dyDescent="0.25">
      <c r="C2755" s="784"/>
    </row>
    <row r="2756" spans="3:3" x14ac:dyDescent="0.25">
      <c r="C2756" s="784"/>
    </row>
    <row r="2757" spans="3:3" x14ac:dyDescent="0.25">
      <c r="C2757" s="784"/>
    </row>
    <row r="2758" spans="3:3" x14ac:dyDescent="0.25">
      <c r="C2758" s="784"/>
    </row>
    <row r="2759" spans="3:3" x14ac:dyDescent="0.25">
      <c r="C2759" s="784"/>
    </row>
    <row r="2760" spans="3:3" x14ac:dyDescent="0.25">
      <c r="C2760" s="784"/>
    </row>
    <row r="2761" spans="3:3" x14ac:dyDescent="0.25">
      <c r="C2761" s="784"/>
    </row>
    <row r="2762" spans="3:3" x14ac:dyDescent="0.25">
      <c r="C2762" s="784"/>
    </row>
    <row r="2763" spans="3:3" x14ac:dyDescent="0.25">
      <c r="C2763" s="784"/>
    </row>
    <row r="2764" spans="3:3" x14ac:dyDescent="0.25">
      <c r="C2764" s="784"/>
    </row>
    <row r="2765" spans="3:3" x14ac:dyDescent="0.25">
      <c r="C2765" s="784"/>
    </row>
    <row r="2766" spans="3:3" x14ac:dyDescent="0.25">
      <c r="C2766" s="784"/>
    </row>
    <row r="2767" spans="3:3" x14ac:dyDescent="0.25">
      <c r="C2767" s="784"/>
    </row>
    <row r="2768" spans="3:3" x14ac:dyDescent="0.25">
      <c r="C2768" s="784"/>
    </row>
    <row r="2769" spans="3:3" x14ac:dyDescent="0.25">
      <c r="C2769" s="784"/>
    </row>
    <row r="2770" spans="3:3" x14ac:dyDescent="0.25">
      <c r="C2770" s="784"/>
    </row>
    <row r="2771" spans="3:3" x14ac:dyDescent="0.25">
      <c r="C2771" s="784"/>
    </row>
    <row r="2772" spans="3:3" x14ac:dyDescent="0.25">
      <c r="C2772" s="784"/>
    </row>
    <row r="2773" spans="3:3" x14ac:dyDescent="0.25">
      <c r="C2773" s="784"/>
    </row>
    <row r="2774" spans="3:3" x14ac:dyDescent="0.25">
      <c r="C2774" s="784"/>
    </row>
    <row r="2775" spans="3:3" x14ac:dyDescent="0.25">
      <c r="C2775" s="784"/>
    </row>
    <row r="2776" spans="3:3" x14ac:dyDescent="0.25">
      <c r="C2776" s="784"/>
    </row>
    <row r="2777" spans="3:3" x14ac:dyDescent="0.25">
      <c r="C2777" s="784"/>
    </row>
    <row r="2778" spans="3:3" x14ac:dyDescent="0.25">
      <c r="C2778" s="784"/>
    </row>
    <row r="2779" spans="3:3" x14ac:dyDescent="0.25">
      <c r="C2779" s="784"/>
    </row>
    <row r="2780" spans="3:3" x14ac:dyDescent="0.25">
      <c r="C2780" s="784"/>
    </row>
    <row r="2781" spans="3:3" x14ac:dyDescent="0.25">
      <c r="C2781" s="784"/>
    </row>
    <row r="2782" spans="3:3" x14ac:dyDescent="0.25">
      <c r="C2782" s="784"/>
    </row>
    <row r="2783" spans="3:3" x14ac:dyDescent="0.25">
      <c r="C2783" s="784"/>
    </row>
    <row r="2784" spans="3:3" x14ac:dyDescent="0.25">
      <c r="C2784" s="784"/>
    </row>
    <row r="2785" spans="3:3" x14ac:dyDescent="0.25">
      <c r="C2785" s="784"/>
    </row>
    <row r="2786" spans="3:3" x14ac:dyDescent="0.25">
      <c r="C2786" s="784"/>
    </row>
    <row r="2787" spans="3:3" x14ac:dyDescent="0.25">
      <c r="C2787" s="784"/>
    </row>
    <row r="2788" spans="3:3" x14ac:dyDescent="0.25">
      <c r="C2788" s="784"/>
    </row>
    <row r="2789" spans="3:3" x14ac:dyDescent="0.25">
      <c r="C2789" s="784"/>
    </row>
    <row r="2790" spans="3:3" x14ac:dyDescent="0.25">
      <c r="C2790" s="784"/>
    </row>
    <row r="2791" spans="3:3" x14ac:dyDescent="0.25">
      <c r="C2791" s="784"/>
    </row>
    <row r="2792" spans="3:3" x14ac:dyDescent="0.25">
      <c r="C2792" s="784"/>
    </row>
    <row r="2793" spans="3:3" x14ac:dyDescent="0.25">
      <c r="C2793" s="784"/>
    </row>
    <row r="2794" spans="3:3" x14ac:dyDescent="0.25">
      <c r="C2794" s="784"/>
    </row>
    <row r="2795" spans="3:3" x14ac:dyDescent="0.25">
      <c r="C2795" s="784"/>
    </row>
    <row r="2796" spans="3:3" x14ac:dyDescent="0.25">
      <c r="C2796" s="784"/>
    </row>
    <row r="2797" spans="3:3" x14ac:dyDescent="0.25">
      <c r="C2797" s="784"/>
    </row>
    <row r="2798" spans="3:3" x14ac:dyDescent="0.25">
      <c r="C2798" s="784"/>
    </row>
    <row r="2799" spans="3:3" x14ac:dyDescent="0.25">
      <c r="C2799" s="784"/>
    </row>
    <row r="2800" spans="3:3" x14ac:dyDescent="0.25">
      <c r="C2800" s="784"/>
    </row>
    <row r="2801" spans="3:3" x14ac:dyDescent="0.25">
      <c r="C2801" s="784"/>
    </row>
    <row r="2802" spans="3:3" x14ac:dyDescent="0.25">
      <c r="C2802" s="784"/>
    </row>
    <row r="2803" spans="3:3" x14ac:dyDescent="0.25">
      <c r="C2803" s="784"/>
    </row>
    <row r="2804" spans="3:3" x14ac:dyDescent="0.25">
      <c r="C2804" s="784"/>
    </row>
    <row r="2805" spans="3:3" x14ac:dyDescent="0.25">
      <c r="C2805" s="784"/>
    </row>
    <row r="2806" spans="3:3" x14ac:dyDescent="0.25">
      <c r="C2806" s="784"/>
    </row>
    <row r="2807" spans="3:3" x14ac:dyDescent="0.25">
      <c r="C2807" s="784"/>
    </row>
    <row r="2808" spans="3:3" x14ac:dyDescent="0.25">
      <c r="C2808" s="784"/>
    </row>
    <row r="2809" spans="3:3" x14ac:dyDescent="0.25">
      <c r="C2809" s="784"/>
    </row>
    <row r="2810" spans="3:3" x14ac:dyDescent="0.25">
      <c r="C2810" s="784"/>
    </row>
    <row r="2811" spans="3:3" x14ac:dyDescent="0.25">
      <c r="C2811" s="784"/>
    </row>
    <row r="2812" spans="3:3" x14ac:dyDescent="0.25">
      <c r="C2812" s="784"/>
    </row>
    <row r="2813" spans="3:3" x14ac:dyDescent="0.25">
      <c r="C2813" s="784"/>
    </row>
    <row r="2814" spans="3:3" x14ac:dyDescent="0.25">
      <c r="C2814" s="784"/>
    </row>
    <row r="2815" spans="3:3" x14ac:dyDescent="0.25">
      <c r="C2815" s="784"/>
    </row>
    <row r="2816" spans="3:3" x14ac:dyDescent="0.25">
      <c r="C2816" s="784"/>
    </row>
    <row r="2817" spans="3:3" x14ac:dyDescent="0.25">
      <c r="C2817" s="784"/>
    </row>
    <row r="2818" spans="3:3" x14ac:dyDescent="0.25">
      <c r="C2818" s="784"/>
    </row>
    <row r="2819" spans="3:3" x14ac:dyDescent="0.25">
      <c r="C2819" s="784"/>
    </row>
    <row r="2820" spans="3:3" x14ac:dyDescent="0.25">
      <c r="C2820" s="784"/>
    </row>
    <row r="2821" spans="3:3" x14ac:dyDescent="0.25">
      <c r="C2821" s="784"/>
    </row>
    <row r="2822" spans="3:3" x14ac:dyDescent="0.25">
      <c r="C2822" s="784"/>
    </row>
    <row r="2823" spans="3:3" x14ac:dyDescent="0.25">
      <c r="C2823" s="784"/>
    </row>
    <row r="2824" spans="3:3" x14ac:dyDescent="0.25">
      <c r="C2824" s="784"/>
    </row>
    <row r="2825" spans="3:3" x14ac:dyDescent="0.25">
      <c r="C2825" s="784"/>
    </row>
    <row r="2826" spans="3:3" x14ac:dyDescent="0.25">
      <c r="C2826" s="784"/>
    </row>
    <row r="2827" spans="3:3" x14ac:dyDescent="0.25">
      <c r="C2827" s="784"/>
    </row>
    <row r="2828" spans="3:3" x14ac:dyDescent="0.25">
      <c r="C2828" s="784"/>
    </row>
    <row r="2829" spans="3:3" x14ac:dyDescent="0.25">
      <c r="C2829" s="784"/>
    </row>
    <row r="2830" spans="3:3" x14ac:dyDescent="0.25">
      <c r="C2830" s="784"/>
    </row>
    <row r="2831" spans="3:3" x14ac:dyDescent="0.25">
      <c r="C2831" s="784"/>
    </row>
    <row r="2832" spans="3:3" x14ac:dyDescent="0.25">
      <c r="C2832" s="784"/>
    </row>
    <row r="2833" spans="3:3" x14ac:dyDescent="0.25">
      <c r="C2833" s="784"/>
    </row>
    <row r="2834" spans="3:3" x14ac:dyDescent="0.25">
      <c r="C2834" s="784"/>
    </row>
    <row r="2835" spans="3:3" x14ac:dyDescent="0.25">
      <c r="C2835" s="784"/>
    </row>
    <row r="2836" spans="3:3" x14ac:dyDescent="0.25">
      <c r="C2836" s="784"/>
    </row>
    <row r="2837" spans="3:3" x14ac:dyDescent="0.25">
      <c r="C2837" s="784"/>
    </row>
    <row r="2838" spans="3:3" x14ac:dyDescent="0.25">
      <c r="C2838" s="784"/>
    </row>
    <row r="2839" spans="3:3" x14ac:dyDescent="0.25">
      <c r="C2839" s="784"/>
    </row>
    <row r="2840" spans="3:3" x14ac:dyDescent="0.25">
      <c r="C2840" s="784"/>
    </row>
    <row r="2841" spans="3:3" x14ac:dyDescent="0.25">
      <c r="C2841" s="784"/>
    </row>
    <row r="2842" spans="3:3" x14ac:dyDescent="0.25">
      <c r="C2842" s="784"/>
    </row>
    <row r="2843" spans="3:3" x14ac:dyDescent="0.25">
      <c r="C2843" s="784"/>
    </row>
    <row r="2844" spans="3:3" x14ac:dyDescent="0.25">
      <c r="C2844" s="784"/>
    </row>
    <row r="2845" spans="3:3" x14ac:dyDescent="0.25">
      <c r="C2845" s="784"/>
    </row>
    <row r="2846" spans="3:3" x14ac:dyDescent="0.25">
      <c r="C2846" s="784"/>
    </row>
    <row r="2847" spans="3:3" x14ac:dyDescent="0.25">
      <c r="C2847" s="784"/>
    </row>
    <row r="2848" spans="3:3" x14ac:dyDescent="0.25">
      <c r="C2848" s="784"/>
    </row>
    <row r="2849" spans="3:3" x14ac:dyDescent="0.25">
      <c r="C2849" s="784"/>
    </row>
    <row r="2850" spans="3:3" x14ac:dyDescent="0.25">
      <c r="C2850" s="784"/>
    </row>
    <row r="2851" spans="3:3" x14ac:dyDescent="0.25">
      <c r="C2851" s="784"/>
    </row>
    <row r="2852" spans="3:3" x14ac:dyDescent="0.25">
      <c r="C2852" s="784"/>
    </row>
    <row r="2853" spans="3:3" x14ac:dyDescent="0.25">
      <c r="C2853" s="784"/>
    </row>
    <row r="2854" spans="3:3" x14ac:dyDescent="0.25">
      <c r="C2854" s="784"/>
    </row>
    <row r="2855" spans="3:3" x14ac:dyDescent="0.25">
      <c r="C2855" s="784"/>
    </row>
    <row r="2856" spans="3:3" x14ac:dyDescent="0.25">
      <c r="C2856" s="784"/>
    </row>
    <row r="2857" spans="3:3" x14ac:dyDescent="0.25">
      <c r="C2857" s="784"/>
    </row>
    <row r="2858" spans="3:3" x14ac:dyDescent="0.25">
      <c r="C2858" s="784"/>
    </row>
    <row r="2859" spans="3:3" x14ac:dyDescent="0.25">
      <c r="C2859" s="784"/>
    </row>
    <row r="2860" spans="3:3" x14ac:dyDescent="0.25">
      <c r="C2860" s="784"/>
    </row>
    <row r="2861" spans="3:3" x14ac:dyDescent="0.25">
      <c r="C2861" s="784"/>
    </row>
    <row r="2862" spans="3:3" x14ac:dyDescent="0.25">
      <c r="C2862" s="784"/>
    </row>
    <row r="2863" spans="3:3" x14ac:dyDescent="0.25">
      <c r="C2863" s="784"/>
    </row>
    <row r="2864" spans="3:3" x14ac:dyDescent="0.25">
      <c r="C2864" s="784"/>
    </row>
    <row r="2865" spans="3:3" x14ac:dyDescent="0.25">
      <c r="C2865" s="784"/>
    </row>
    <row r="2866" spans="3:3" x14ac:dyDescent="0.25">
      <c r="C2866" s="784"/>
    </row>
    <row r="2867" spans="3:3" x14ac:dyDescent="0.25">
      <c r="C2867" s="784"/>
    </row>
    <row r="2868" spans="3:3" x14ac:dyDescent="0.25">
      <c r="C2868" s="784"/>
    </row>
    <row r="2869" spans="3:3" x14ac:dyDescent="0.25">
      <c r="C2869" s="784"/>
    </row>
    <row r="2870" spans="3:3" x14ac:dyDescent="0.25">
      <c r="C2870" s="784"/>
    </row>
    <row r="2871" spans="3:3" x14ac:dyDescent="0.25">
      <c r="C2871" s="784"/>
    </row>
    <row r="2872" spans="3:3" x14ac:dyDescent="0.25">
      <c r="C2872" s="784"/>
    </row>
    <row r="2873" spans="3:3" x14ac:dyDescent="0.25">
      <c r="C2873" s="784"/>
    </row>
    <row r="2874" spans="3:3" x14ac:dyDescent="0.25">
      <c r="C2874" s="784"/>
    </row>
    <row r="2875" spans="3:3" x14ac:dyDescent="0.25">
      <c r="C2875" s="784"/>
    </row>
    <row r="2876" spans="3:3" x14ac:dyDescent="0.25">
      <c r="C2876" s="784"/>
    </row>
    <row r="2877" spans="3:3" x14ac:dyDescent="0.25">
      <c r="C2877" s="784"/>
    </row>
    <row r="2878" spans="3:3" x14ac:dyDescent="0.25">
      <c r="C2878" s="784"/>
    </row>
    <row r="2879" spans="3:3" x14ac:dyDescent="0.25">
      <c r="C2879" s="784"/>
    </row>
    <row r="2880" spans="3:3" x14ac:dyDescent="0.25">
      <c r="C2880" s="784"/>
    </row>
    <row r="2881" spans="3:3" x14ac:dyDescent="0.25">
      <c r="C2881" s="784"/>
    </row>
    <row r="2882" spans="3:3" x14ac:dyDescent="0.25">
      <c r="C2882" s="784"/>
    </row>
    <row r="2883" spans="3:3" x14ac:dyDescent="0.25">
      <c r="C2883" s="784"/>
    </row>
    <row r="2884" spans="3:3" x14ac:dyDescent="0.25">
      <c r="C2884" s="784"/>
    </row>
    <row r="2885" spans="3:3" x14ac:dyDescent="0.25">
      <c r="C2885" s="784"/>
    </row>
    <row r="2886" spans="3:3" x14ac:dyDescent="0.25">
      <c r="C2886" s="784"/>
    </row>
    <row r="2887" spans="3:3" x14ac:dyDescent="0.25">
      <c r="C2887" s="784"/>
    </row>
    <row r="2888" spans="3:3" x14ac:dyDescent="0.25">
      <c r="C2888" s="784"/>
    </row>
    <row r="2889" spans="3:3" x14ac:dyDescent="0.25">
      <c r="C2889" s="784"/>
    </row>
    <row r="2890" spans="3:3" x14ac:dyDescent="0.25">
      <c r="C2890" s="784"/>
    </row>
    <row r="2891" spans="3:3" x14ac:dyDescent="0.25">
      <c r="C2891" s="784"/>
    </row>
    <row r="2892" spans="3:3" x14ac:dyDescent="0.25">
      <c r="C2892" s="784"/>
    </row>
    <row r="2893" spans="3:3" x14ac:dyDescent="0.25">
      <c r="C2893" s="784"/>
    </row>
    <row r="2894" spans="3:3" x14ac:dyDescent="0.25">
      <c r="C2894" s="784"/>
    </row>
    <row r="2895" spans="3:3" x14ac:dyDescent="0.25">
      <c r="C2895" s="784"/>
    </row>
    <row r="2896" spans="3:3" x14ac:dyDescent="0.25">
      <c r="C2896" s="784"/>
    </row>
    <row r="2897" spans="3:3" x14ac:dyDescent="0.25">
      <c r="C2897" s="784"/>
    </row>
    <row r="2898" spans="3:3" x14ac:dyDescent="0.25">
      <c r="C2898" s="784"/>
    </row>
    <row r="2899" spans="3:3" x14ac:dyDescent="0.25">
      <c r="C2899" s="784"/>
    </row>
    <row r="2900" spans="3:3" x14ac:dyDescent="0.25">
      <c r="C2900" s="784"/>
    </row>
    <row r="2901" spans="3:3" x14ac:dyDescent="0.25">
      <c r="C2901" s="784"/>
    </row>
    <row r="2902" spans="3:3" x14ac:dyDescent="0.25">
      <c r="C2902" s="784"/>
    </row>
    <row r="2903" spans="3:3" x14ac:dyDescent="0.25">
      <c r="C2903" s="784"/>
    </row>
    <row r="2904" spans="3:3" x14ac:dyDescent="0.25">
      <c r="C2904" s="784"/>
    </row>
    <row r="2905" spans="3:3" x14ac:dyDescent="0.25">
      <c r="C2905" s="784"/>
    </row>
    <row r="2906" spans="3:3" x14ac:dyDescent="0.25">
      <c r="C2906" s="784"/>
    </row>
    <row r="2907" spans="3:3" x14ac:dyDescent="0.25">
      <c r="C2907" s="784"/>
    </row>
    <row r="2908" spans="3:3" x14ac:dyDescent="0.25">
      <c r="C2908" s="784"/>
    </row>
    <row r="2909" spans="3:3" x14ac:dyDescent="0.25">
      <c r="C2909" s="784"/>
    </row>
    <row r="2910" spans="3:3" x14ac:dyDescent="0.25">
      <c r="C2910" s="784"/>
    </row>
    <row r="2911" spans="3:3" x14ac:dyDescent="0.25">
      <c r="C2911" s="784"/>
    </row>
    <row r="2912" spans="3:3" x14ac:dyDescent="0.25">
      <c r="C2912" s="784"/>
    </row>
    <row r="2913" spans="3:3" x14ac:dyDescent="0.25">
      <c r="C2913" s="784"/>
    </row>
    <row r="2914" spans="3:3" x14ac:dyDescent="0.25">
      <c r="C2914" s="784"/>
    </row>
    <row r="2915" spans="3:3" x14ac:dyDescent="0.25">
      <c r="C2915" s="784"/>
    </row>
    <row r="2916" spans="3:3" x14ac:dyDescent="0.25">
      <c r="C2916" s="784"/>
    </row>
    <row r="2917" spans="3:3" x14ac:dyDescent="0.25">
      <c r="C2917" s="784"/>
    </row>
    <row r="2918" spans="3:3" x14ac:dyDescent="0.25">
      <c r="C2918" s="784"/>
    </row>
    <row r="2919" spans="3:3" x14ac:dyDescent="0.25">
      <c r="C2919" s="784"/>
    </row>
    <row r="2920" spans="3:3" x14ac:dyDescent="0.25">
      <c r="C2920" s="784"/>
    </row>
    <row r="2921" spans="3:3" x14ac:dyDescent="0.25">
      <c r="C2921" s="784"/>
    </row>
    <row r="2922" spans="3:3" x14ac:dyDescent="0.25">
      <c r="C2922" s="784"/>
    </row>
    <row r="2923" spans="3:3" x14ac:dyDescent="0.25">
      <c r="C2923" s="784"/>
    </row>
    <row r="2924" spans="3:3" x14ac:dyDescent="0.25">
      <c r="C2924" s="784"/>
    </row>
    <row r="2925" spans="3:3" x14ac:dyDescent="0.25">
      <c r="C2925" s="784"/>
    </row>
    <row r="2926" spans="3:3" x14ac:dyDescent="0.25">
      <c r="C2926" s="784"/>
    </row>
    <row r="2927" spans="3:3" x14ac:dyDescent="0.25">
      <c r="C2927" s="784"/>
    </row>
    <row r="2928" spans="3:3" x14ac:dyDescent="0.25">
      <c r="C2928" s="784"/>
    </row>
    <row r="2929" spans="3:3" x14ac:dyDescent="0.25">
      <c r="C2929" s="784"/>
    </row>
    <row r="2930" spans="3:3" x14ac:dyDescent="0.25">
      <c r="C2930" s="784"/>
    </row>
    <row r="2931" spans="3:3" x14ac:dyDescent="0.25">
      <c r="C2931" s="784"/>
    </row>
    <row r="2932" spans="3:3" x14ac:dyDescent="0.25">
      <c r="C2932" s="784"/>
    </row>
    <row r="2933" spans="3:3" x14ac:dyDescent="0.25">
      <c r="C2933" s="784"/>
    </row>
    <row r="2934" spans="3:3" x14ac:dyDescent="0.25">
      <c r="C2934" s="784"/>
    </row>
    <row r="2935" spans="3:3" x14ac:dyDescent="0.25">
      <c r="C2935" s="784"/>
    </row>
    <row r="2936" spans="3:3" x14ac:dyDescent="0.25">
      <c r="C2936" s="784"/>
    </row>
    <row r="2937" spans="3:3" x14ac:dyDescent="0.25">
      <c r="C2937" s="784"/>
    </row>
    <row r="2938" spans="3:3" x14ac:dyDescent="0.25">
      <c r="C2938" s="784"/>
    </row>
    <row r="2939" spans="3:3" x14ac:dyDescent="0.25">
      <c r="C2939" s="784"/>
    </row>
    <row r="2940" spans="3:3" x14ac:dyDescent="0.25">
      <c r="C2940" s="784"/>
    </row>
    <row r="2941" spans="3:3" x14ac:dyDescent="0.25">
      <c r="C2941" s="784"/>
    </row>
    <row r="2942" spans="3:3" x14ac:dyDescent="0.25">
      <c r="C2942" s="784"/>
    </row>
    <row r="2943" spans="3:3" x14ac:dyDescent="0.25">
      <c r="C2943" s="784"/>
    </row>
    <row r="2944" spans="3:3" x14ac:dyDescent="0.25">
      <c r="C2944" s="784"/>
    </row>
    <row r="2945" spans="3:3" x14ac:dyDescent="0.25">
      <c r="C2945" s="784"/>
    </row>
    <row r="2946" spans="3:3" x14ac:dyDescent="0.25">
      <c r="C2946" s="784"/>
    </row>
    <row r="2947" spans="3:3" x14ac:dyDescent="0.25">
      <c r="C2947" s="784"/>
    </row>
    <row r="2948" spans="3:3" x14ac:dyDescent="0.25">
      <c r="C2948" s="784"/>
    </row>
    <row r="2949" spans="3:3" x14ac:dyDescent="0.25">
      <c r="C2949" s="784"/>
    </row>
    <row r="2950" spans="3:3" x14ac:dyDescent="0.25">
      <c r="C2950" s="784"/>
    </row>
    <row r="2951" spans="3:3" x14ac:dyDescent="0.25">
      <c r="C2951" s="784"/>
    </row>
    <row r="2952" spans="3:3" x14ac:dyDescent="0.25">
      <c r="C2952" s="784"/>
    </row>
    <row r="2953" spans="3:3" x14ac:dyDescent="0.25">
      <c r="C2953" s="784"/>
    </row>
    <row r="2954" spans="3:3" x14ac:dyDescent="0.25">
      <c r="C2954" s="784"/>
    </row>
    <row r="2955" spans="3:3" x14ac:dyDescent="0.25">
      <c r="C2955" s="784"/>
    </row>
    <row r="2956" spans="3:3" x14ac:dyDescent="0.25">
      <c r="C2956" s="784"/>
    </row>
    <row r="2957" spans="3:3" x14ac:dyDescent="0.25">
      <c r="C2957" s="784"/>
    </row>
    <row r="2958" spans="3:3" x14ac:dyDescent="0.25">
      <c r="C2958" s="784"/>
    </row>
    <row r="2959" spans="3:3" x14ac:dyDescent="0.25">
      <c r="C2959" s="784"/>
    </row>
    <row r="2960" spans="3:3" x14ac:dyDescent="0.25">
      <c r="C2960" s="784"/>
    </row>
    <row r="2961" spans="3:3" x14ac:dyDescent="0.25">
      <c r="C2961" s="784"/>
    </row>
    <row r="2962" spans="3:3" x14ac:dyDescent="0.25">
      <c r="C2962" s="784"/>
    </row>
    <row r="2963" spans="3:3" x14ac:dyDescent="0.25">
      <c r="C2963" s="784"/>
    </row>
    <row r="2964" spans="3:3" x14ac:dyDescent="0.25">
      <c r="C2964" s="784"/>
    </row>
    <row r="2965" spans="3:3" x14ac:dyDescent="0.25">
      <c r="C2965" s="784"/>
    </row>
    <row r="2966" spans="3:3" x14ac:dyDescent="0.25">
      <c r="C2966" s="784"/>
    </row>
    <row r="2967" spans="3:3" x14ac:dyDescent="0.25">
      <c r="C2967" s="784"/>
    </row>
    <row r="2968" spans="3:3" x14ac:dyDescent="0.25">
      <c r="C2968" s="784"/>
    </row>
    <row r="2969" spans="3:3" x14ac:dyDescent="0.25">
      <c r="C2969" s="784"/>
    </row>
    <row r="2970" spans="3:3" x14ac:dyDescent="0.25">
      <c r="C2970" s="784"/>
    </row>
    <row r="2971" spans="3:3" x14ac:dyDescent="0.25">
      <c r="C2971" s="784"/>
    </row>
    <row r="2972" spans="3:3" x14ac:dyDescent="0.25">
      <c r="C2972" s="784"/>
    </row>
    <row r="2973" spans="3:3" x14ac:dyDescent="0.25">
      <c r="C2973" s="784"/>
    </row>
    <row r="2974" spans="3:3" x14ac:dyDescent="0.25">
      <c r="C2974" s="784"/>
    </row>
    <row r="2975" spans="3:3" x14ac:dyDescent="0.25">
      <c r="C2975" s="784"/>
    </row>
    <row r="2976" spans="3:3" x14ac:dyDescent="0.25">
      <c r="C2976" s="784"/>
    </row>
    <row r="2977" spans="3:3" x14ac:dyDescent="0.25">
      <c r="C2977" s="784"/>
    </row>
    <row r="2978" spans="3:3" x14ac:dyDescent="0.25">
      <c r="C2978" s="784"/>
    </row>
    <row r="2979" spans="3:3" x14ac:dyDescent="0.25">
      <c r="C2979" s="784"/>
    </row>
    <row r="2980" spans="3:3" x14ac:dyDescent="0.25">
      <c r="C2980" s="784"/>
    </row>
    <row r="2981" spans="3:3" x14ac:dyDescent="0.25">
      <c r="C2981" s="784"/>
    </row>
    <row r="2982" spans="3:3" x14ac:dyDescent="0.25">
      <c r="C2982" s="784"/>
    </row>
    <row r="2983" spans="3:3" x14ac:dyDescent="0.25">
      <c r="C2983" s="784"/>
    </row>
    <row r="2984" spans="3:3" x14ac:dyDescent="0.25">
      <c r="C2984" s="784"/>
    </row>
    <row r="2985" spans="3:3" x14ac:dyDescent="0.25">
      <c r="C2985" s="784"/>
    </row>
    <row r="2986" spans="3:3" x14ac:dyDescent="0.25">
      <c r="C2986" s="784"/>
    </row>
    <row r="2987" spans="3:3" x14ac:dyDescent="0.25">
      <c r="C2987" s="784"/>
    </row>
    <row r="2988" spans="3:3" x14ac:dyDescent="0.25">
      <c r="C2988" s="784"/>
    </row>
    <row r="2989" spans="3:3" x14ac:dyDescent="0.25">
      <c r="C2989" s="784"/>
    </row>
    <row r="2990" spans="3:3" x14ac:dyDescent="0.25">
      <c r="C2990" s="784"/>
    </row>
    <row r="2991" spans="3:3" x14ac:dyDescent="0.25">
      <c r="C2991" s="784"/>
    </row>
    <row r="2992" spans="3:3" x14ac:dyDescent="0.25">
      <c r="C2992" s="784"/>
    </row>
    <row r="2993" spans="3:3" x14ac:dyDescent="0.25">
      <c r="C2993" s="784"/>
    </row>
    <row r="2994" spans="3:3" x14ac:dyDescent="0.25">
      <c r="C2994" s="784"/>
    </row>
    <row r="2995" spans="3:3" x14ac:dyDescent="0.25">
      <c r="C2995" s="784"/>
    </row>
    <row r="2996" spans="3:3" x14ac:dyDescent="0.25">
      <c r="C2996" s="784"/>
    </row>
    <row r="2997" spans="3:3" x14ac:dyDescent="0.25">
      <c r="C2997" s="784"/>
    </row>
    <row r="2998" spans="3:3" x14ac:dyDescent="0.25">
      <c r="C2998" s="784"/>
    </row>
    <row r="2999" spans="3:3" x14ac:dyDescent="0.25">
      <c r="C2999" s="784"/>
    </row>
    <row r="3000" spans="3:3" x14ac:dyDescent="0.25">
      <c r="C3000" s="784"/>
    </row>
    <row r="3001" spans="3:3" x14ac:dyDescent="0.25">
      <c r="C3001" s="784"/>
    </row>
    <row r="3002" spans="3:3" x14ac:dyDescent="0.25">
      <c r="C3002" s="784"/>
    </row>
    <row r="3003" spans="3:3" x14ac:dyDescent="0.25">
      <c r="C3003" s="784"/>
    </row>
    <row r="3004" spans="3:3" x14ac:dyDescent="0.25">
      <c r="C3004" s="784"/>
    </row>
    <row r="3005" spans="3:3" x14ac:dyDescent="0.25">
      <c r="C3005" s="784"/>
    </row>
    <row r="3006" spans="3:3" x14ac:dyDescent="0.25">
      <c r="C3006" s="784"/>
    </row>
    <row r="3007" spans="3:3" x14ac:dyDescent="0.25">
      <c r="C3007" s="784"/>
    </row>
    <row r="3008" spans="3:3" x14ac:dyDescent="0.25">
      <c r="C3008" s="784"/>
    </row>
    <row r="3009" spans="3:3" x14ac:dyDescent="0.25">
      <c r="C3009" s="784"/>
    </row>
    <row r="3010" spans="3:3" x14ac:dyDescent="0.25">
      <c r="C3010" s="784"/>
    </row>
    <row r="3011" spans="3:3" x14ac:dyDescent="0.25">
      <c r="C3011" s="784"/>
    </row>
    <row r="3012" spans="3:3" x14ac:dyDescent="0.25">
      <c r="C3012" s="784"/>
    </row>
    <row r="3013" spans="3:3" x14ac:dyDescent="0.25">
      <c r="C3013" s="784"/>
    </row>
    <row r="3014" spans="3:3" x14ac:dyDescent="0.25">
      <c r="C3014" s="784"/>
    </row>
    <row r="3015" spans="3:3" x14ac:dyDescent="0.25">
      <c r="C3015" s="784"/>
    </row>
    <row r="3016" spans="3:3" x14ac:dyDescent="0.25">
      <c r="C3016" s="784"/>
    </row>
    <row r="3017" spans="3:3" x14ac:dyDescent="0.25">
      <c r="C3017" s="784"/>
    </row>
    <row r="3018" spans="3:3" x14ac:dyDescent="0.25">
      <c r="C3018" s="784"/>
    </row>
    <row r="3019" spans="3:3" x14ac:dyDescent="0.25">
      <c r="C3019" s="784"/>
    </row>
    <row r="3020" spans="3:3" x14ac:dyDescent="0.25">
      <c r="C3020" s="784"/>
    </row>
    <row r="3021" spans="3:3" x14ac:dyDescent="0.25">
      <c r="C3021" s="784"/>
    </row>
    <row r="3022" spans="3:3" x14ac:dyDescent="0.25">
      <c r="C3022" s="784"/>
    </row>
    <row r="3023" spans="3:3" x14ac:dyDescent="0.25">
      <c r="C3023" s="784"/>
    </row>
    <row r="3024" spans="3:3" x14ac:dyDescent="0.25">
      <c r="C3024" s="784"/>
    </row>
    <row r="3025" spans="3:3" x14ac:dyDescent="0.25">
      <c r="C3025" s="784"/>
    </row>
    <row r="3026" spans="3:3" x14ac:dyDescent="0.25">
      <c r="C3026" s="784"/>
    </row>
    <row r="3027" spans="3:3" x14ac:dyDescent="0.25">
      <c r="C3027" s="784"/>
    </row>
    <row r="3028" spans="3:3" x14ac:dyDescent="0.25">
      <c r="C3028" s="784"/>
    </row>
    <row r="3029" spans="3:3" x14ac:dyDescent="0.25">
      <c r="C3029" s="784"/>
    </row>
    <row r="3030" spans="3:3" x14ac:dyDescent="0.25">
      <c r="C3030" s="784"/>
    </row>
    <row r="3031" spans="3:3" x14ac:dyDescent="0.25">
      <c r="C3031" s="784"/>
    </row>
    <row r="3032" spans="3:3" x14ac:dyDescent="0.25">
      <c r="C3032" s="784"/>
    </row>
    <row r="3033" spans="3:3" x14ac:dyDescent="0.25">
      <c r="C3033" s="784"/>
    </row>
    <row r="3034" spans="3:3" x14ac:dyDescent="0.25">
      <c r="C3034" s="784"/>
    </row>
    <row r="3035" spans="3:3" x14ac:dyDescent="0.25">
      <c r="C3035" s="784"/>
    </row>
    <row r="3036" spans="3:3" x14ac:dyDescent="0.25">
      <c r="C3036" s="784"/>
    </row>
    <row r="3037" spans="3:3" x14ac:dyDescent="0.25">
      <c r="C3037" s="784"/>
    </row>
    <row r="3038" spans="3:3" x14ac:dyDescent="0.25">
      <c r="C3038" s="784"/>
    </row>
    <row r="3039" spans="3:3" x14ac:dyDescent="0.25">
      <c r="C3039" s="784"/>
    </row>
    <row r="3040" spans="3:3" x14ac:dyDescent="0.25">
      <c r="C3040" s="784"/>
    </row>
    <row r="3041" spans="3:3" x14ac:dyDescent="0.25">
      <c r="C3041" s="784"/>
    </row>
    <row r="3042" spans="3:3" x14ac:dyDescent="0.25">
      <c r="C3042" s="784"/>
    </row>
    <row r="3043" spans="3:3" x14ac:dyDescent="0.25">
      <c r="C3043" s="784"/>
    </row>
    <row r="3044" spans="3:3" x14ac:dyDescent="0.25">
      <c r="C3044" s="784"/>
    </row>
    <row r="3045" spans="3:3" x14ac:dyDescent="0.25">
      <c r="C3045" s="784"/>
    </row>
    <row r="3046" spans="3:3" x14ac:dyDescent="0.25">
      <c r="C3046" s="784"/>
    </row>
    <row r="3047" spans="3:3" x14ac:dyDescent="0.25">
      <c r="C3047" s="784"/>
    </row>
    <row r="3048" spans="3:3" x14ac:dyDescent="0.25">
      <c r="C3048" s="784"/>
    </row>
    <row r="3049" spans="3:3" x14ac:dyDescent="0.25">
      <c r="C3049" s="784"/>
    </row>
    <row r="3050" spans="3:3" x14ac:dyDescent="0.25">
      <c r="C3050" s="784"/>
    </row>
    <row r="3051" spans="3:3" x14ac:dyDescent="0.25">
      <c r="C3051" s="784"/>
    </row>
    <row r="3052" spans="3:3" x14ac:dyDescent="0.25">
      <c r="C3052" s="784"/>
    </row>
    <row r="3053" spans="3:3" x14ac:dyDescent="0.25">
      <c r="C3053" s="784"/>
    </row>
    <row r="3054" spans="3:3" x14ac:dyDescent="0.25">
      <c r="C3054" s="784"/>
    </row>
    <row r="3055" spans="3:3" x14ac:dyDescent="0.25">
      <c r="C3055" s="784"/>
    </row>
    <row r="3056" spans="3:3" x14ac:dyDescent="0.25">
      <c r="C3056" s="784"/>
    </row>
    <row r="3057" spans="3:3" x14ac:dyDescent="0.25">
      <c r="C3057" s="784"/>
    </row>
    <row r="3058" spans="3:3" x14ac:dyDescent="0.25">
      <c r="C3058" s="784"/>
    </row>
    <row r="3059" spans="3:3" x14ac:dyDescent="0.25">
      <c r="C3059" s="784"/>
    </row>
    <row r="3060" spans="3:3" x14ac:dyDescent="0.25">
      <c r="C3060" s="784"/>
    </row>
    <row r="3061" spans="3:3" x14ac:dyDescent="0.25">
      <c r="C3061" s="784"/>
    </row>
    <row r="3062" spans="3:3" x14ac:dyDescent="0.25">
      <c r="C3062" s="784"/>
    </row>
    <row r="3063" spans="3:3" x14ac:dyDescent="0.25">
      <c r="C3063" s="784"/>
    </row>
    <row r="3064" spans="3:3" x14ac:dyDescent="0.25">
      <c r="C3064" s="784"/>
    </row>
    <row r="3065" spans="3:3" x14ac:dyDescent="0.25">
      <c r="C3065" s="784"/>
    </row>
    <row r="3066" spans="3:3" x14ac:dyDescent="0.25">
      <c r="C3066" s="784"/>
    </row>
    <row r="3067" spans="3:3" x14ac:dyDescent="0.25">
      <c r="C3067" s="784"/>
    </row>
    <row r="3068" spans="3:3" x14ac:dyDescent="0.25">
      <c r="C3068" s="784"/>
    </row>
    <row r="3069" spans="3:3" x14ac:dyDescent="0.25">
      <c r="C3069" s="784"/>
    </row>
    <row r="3070" spans="3:3" x14ac:dyDescent="0.25">
      <c r="C3070" s="784"/>
    </row>
    <row r="3071" spans="3:3" x14ac:dyDescent="0.25">
      <c r="C3071" s="784"/>
    </row>
    <row r="3072" spans="3:3" x14ac:dyDescent="0.25">
      <c r="C3072" s="784"/>
    </row>
    <row r="3073" spans="3:3" x14ac:dyDescent="0.25">
      <c r="C3073" s="784"/>
    </row>
    <row r="3074" spans="3:3" x14ac:dyDescent="0.25">
      <c r="C3074" s="784"/>
    </row>
    <row r="3075" spans="3:3" x14ac:dyDescent="0.25">
      <c r="C3075" s="784"/>
    </row>
    <row r="3076" spans="3:3" x14ac:dyDescent="0.25">
      <c r="C3076" s="784"/>
    </row>
    <row r="3077" spans="3:3" x14ac:dyDescent="0.25">
      <c r="C3077" s="784"/>
    </row>
    <row r="3078" spans="3:3" x14ac:dyDescent="0.25">
      <c r="C3078" s="784"/>
    </row>
    <row r="3079" spans="3:3" x14ac:dyDescent="0.25">
      <c r="C3079" s="784"/>
    </row>
    <row r="3080" spans="3:3" x14ac:dyDescent="0.25">
      <c r="C3080" s="784"/>
    </row>
    <row r="3081" spans="3:3" x14ac:dyDescent="0.25">
      <c r="C3081" s="784"/>
    </row>
    <row r="3082" spans="3:3" x14ac:dyDescent="0.25">
      <c r="C3082" s="784"/>
    </row>
    <row r="3083" spans="3:3" x14ac:dyDescent="0.25">
      <c r="C3083" s="784"/>
    </row>
    <row r="3084" spans="3:3" x14ac:dyDescent="0.25">
      <c r="C3084" s="784"/>
    </row>
    <row r="3085" spans="3:3" x14ac:dyDescent="0.25">
      <c r="C3085" s="784"/>
    </row>
    <row r="3086" spans="3:3" x14ac:dyDescent="0.25">
      <c r="C3086" s="784"/>
    </row>
    <row r="3087" spans="3:3" x14ac:dyDescent="0.25">
      <c r="C3087" s="784"/>
    </row>
    <row r="3088" spans="3:3" x14ac:dyDescent="0.25">
      <c r="C3088" s="784"/>
    </row>
    <row r="3089" spans="3:3" x14ac:dyDescent="0.25">
      <c r="C3089" s="784"/>
    </row>
    <row r="3090" spans="3:3" x14ac:dyDescent="0.25">
      <c r="C3090" s="784"/>
    </row>
    <row r="3091" spans="3:3" x14ac:dyDescent="0.25">
      <c r="C3091" s="784"/>
    </row>
    <row r="3092" spans="3:3" x14ac:dyDescent="0.25">
      <c r="C3092" s="784"/>
    </row>
    <row r="3093" spans="3:3" x14ac:dyDescent="0.25">
      <c r="C3093" s="784"/>
    </row>
    <row r="3094" spans="3:3" x14ac:dyDescent="0.25">
      <c r="C3094" s="784"/>
    </row>
    <row r="3095" spans="3:3" x14ac:dyDescent="0.25">
      <c r="C3095" s="784"/>
    </row>
    <row r="3096" spans="3:3" x14ac:dyDescent="0.25">
      <c r="C3096" s="784"/>
    </row>
    <row r="3097" spans="3:3" x14ac:dyDescent="0.25">
      <c r="C3097" s="784"/>
    </row>
    <row r="3098" spans="3:3" x14ac:dyDescent="0.25">
      <c r="C3098" s="784"/>
    </row>
    <row r="3099" spans="3:3" x14ac:dyDescent="0.25">
      <c r="C3099" s="784"/>
    </row>
    <row r="3100" spans="3:3" x14ac:dyDescent="0.25">
      <c r="C3100" s="784"/>
    </row>
    <row r="3101" spans="3:3" x14ac:dyDescent="0.25">
      <c r="C3101" s="784"/>
    </row>
    <row r="3102" spans="3:3" x14ac:dyDescent="0.25">
      <c r="C3102" s="784"/>
    </row>
    <row r="3103" spans="3:3" x14ac:dyDescent="0.25">
      <c r="C3103" s="784"/>
    </row>
    <row r="3104" spans="3:3" x14ac:dyDescent="0.25">
      <c r="C3104" s="784"/>
    </row>
    <row r="3105" spans="3:3" x14ac:dyDescent="0.25">
      <c r="C3105" s="784"/>
    </row>
    <row r="3106" spans="3:3" x14ac:dyDescent="0.25">
      <c r="C3106" s="784"/>
    </row>
    <row r="3107" spans="3:3" x14ac:dyDescent="0.25">
      <c r="C3107" s="784"/>
    </row>
    <row r="3108" spans="3:3" x14ac:dyDescent="0.25">
      <c r="C3108" s="784"/>
    </row>
    <row r="3109" spans="3:3" x14ac:dyDescent="0.25">
      <c r="C3109" s="784"/>
    </row>
    <row r="3110" spans="3:3" x14ac:dyDescent="0.25">
      <c r="C3110" s="784"/>
    </row>
    <row r="3111" spans="3:3" x14ac:dyDescent="0.25">
      <c r="C3111" s="784"/>
    </row>
    <row r="3112" spans="3:3" x14ac:dyDescent="0.25">
      <c r="C3112" s="784"/>
    </row>
    <row r="3113" spans="3:3" x14ac:dyDescent="0.25">
      <c r="C3113" s="784"/>
    </row>
    <row r="3114" spans="3:3" x14ac:dyDescent="0.25">
      <c r="C3114" s="784"/>
    </row>
    <row r="3115" spans="3:3" x14ac:dyDescent="0.25">
      <c r="C3115" s="784"/>
    </row>
    <row r="3116" spans="3:3" x14ac:dyDescent="0.25">
      <c r="C3116" s="784"/>
    </row>
    <row r="3117" spans="3:3" x14ac:dyDescent="0.25">
      <c r="C3117" s="784"/>
    </row>
    <row r="3118" spans="3:3" x14ac:dyDescent="0.25">
      <c r="C3118" s="784"/>
    </row>
    <row r="3119" spans="3:3" x14ac:dyDescent="0.25">
      <c r="C3119" s="784"/>
    </row>
    <row r="3120" spans="3:3" x14ac:dyDescent="0.25">
      <c r="C3120" s="784"/>
    </row>
    <row r="3121" spans="3:3" x14ac:dyDescent="0.25">
      <c r="C3121" s="784"/>
    </row>
    <row r="3122" spans="3:3" x14ac:dyDescent="0.25">
      <c r="C3122" s="784"/>
    </row>
    <row r="3123" spans="3:3" x14ac:dyDescent="0.25">
      <c r="C3123" s="784"/>
    </row>
    <row r="3124" spans="3:3" x14ac:dyDescent="0.25">
      <c r="C3124" s="784"/>
    </row>
    <row r="3125" spans="3:3" x14ac:dyDescent="0.25">
      <c r="C3125" s="784"/>
    </row>
    <row r="3126" spans="3:3" x14ac:dyDescent="0.25">
      <c r="C3126" s="784"/>
    </row>
    <row r="3127" spans="3:3" x14ac:dyDescent="0.25">
      <c r="C3127" s="784"/>
    </row>
    <row r="3128" spans="3:3" x14ac:dyDescent="0.25">
      <c r="C3128" s="784"/>
    </row>
    <row r="3129" spans="3:3" x14ac:dyDescent="0.25">
      <c r="C3129" s="784"/>
    </row>
    <row r="3130" spans="3:3" x14ac:dyDescent="0.25">
      <c r="C3130" s="784"/>
    </row>
    <row r="3131" spans="3:3" x14ac:dyDescent="0.25">
      <c r="C3131" s="784"/>
    </row>
    <row r="3132" spans="3:3" x14ac:dyDescent="0.25">
      <c r="C3132" s="784"/>
    </row>
    <row r="3133" spans="3:3" x14ac:dyDescent="0.25">
      <c r="C3133" s="784"/>
    </row>
    <row r="3134" spans="3:3" x14ac:dyDescent="0.25">
      <c r="C3134" s="784"/>
    </row>
    <row r="3135" spans="3:3" x14ac:dyDescent="0.25">
      <c r="C3135" s="784"/>
    </row>
    <row r="3136" spans="3:3" x14ac:dyDescent="0.25">
      <c r="C3136" s="784"/>
    </row>
    <row r="3137" spans="3:3" x14ac:dyDescent="0.25">
      <c r="C3137" s="784"/>
    </row>
    <row r="3138" spans="3:3" x14ac:dyDescent="0.25">
      <c r="C3138" s="784"/>
    </row>
    <row r="3139" spans="3:3" x14ac:dyDescent="0.25">
      <c r="C3139" s="784"/>
    </row>
    <row r="3140" spans="3:3" x14ac:dyDescent="0.25">
      <c r="C3140" s="784"/>
    </row>
    <row r="3141" spans="3:3" x14ac:dyDescent="0.25">
      <c r="C3141" s="784"/>
    </row>
    <row r="3142" spans="3:3" x14ac:dyDescent="0.25">
      <c r="C3142" s="784"/>
    </row>
    <row r="3143" spans="3:3" x14ac:dyDescent="0.25">
      <c r="C3143" s="784"/>
    </row>
    <row r="3144" spans="3:3" x14ac:dyDescent="0.25">
      <c r="C3144" s="784"/>
    </row>
    <row r="3145" spans="3:3" x14ac:dyDescent="0.25">
      <c r="C3145" s="784"/>
    </row>
    <row r="3146" spans="3:3" x14ac:dyDescent="0.25">
      <c r="C3146" s="784"/>
    </row>
    <row r="3147" spans="3:3" x14ac:dyDescent="0.25">
      <c r="C3147" s="784"/>
    </row>
    <row r="3148" spans="3:3" x14ac:dyDescent="0.25">
      <c r="C3148" s="784"/>
    </row>
    <row r="3149" spans="3:3" x14ac:dyDescent="0.25">
      <c r="C3149" s="784"/>
    </row>
    <row r="3150" spans="3:3" x14ac:dyDescent="0.25">
      <c r="C3150" s="784"/>
    </row>
    <row r="3151" spans="3:3" x14ac:dyDescent="0.25">
      <c r="C3151" s="784"/>
    </row>
    <row r="3152" spans="3:3" x14ac:dyDescent="0.25">
      <c r="C3152" s="784"/>
    </row>
    <row r="3153" spans="3:3" x14ac:dyDescent="0.25">
      <c r="C3153" s="784"/>
    </row>
    <row r="3154" spans="3:3" x14ac:dyDescent="0.25">
      <c r="C3154" s="784"/>
    </row>
    <row r="3155" spans="3:3" x14ac:dyDescent="0.25">
      <c r="C3155" s="784"/>
    </row>
    <row r="3156" spans="3:3" x14ac:dyDescent="0.25">
      <c r="C3156" s="784"/>
    </row>
    <row r="3157" spans="3:3" x14ac:dyDescent="0.25">
      <c r="C3157" s="784"/>
    </row>
    <row r="3158" spans="3:3" x14ac:dyDescent="0.25">
      <c r="C3158" s="784"/>
    </row>
    <row r="3159" spans="3:3" x14ac:dyDescent="0.25">
      <c r="C3159" s="784"/>
    </row>
    <row r="3160" spans="3:3" x14ac:dyDescent="0.25">
      <c r="C3160" s="784"/>
    </row>
    <row r="3161" spans="3:3" x14ac:dyDescent="0.25">
      <c r="C3161" s="784"/>
    </row>
    <row r="3162" spans="3:3" x14ac:dyDescent="0.25">
      <c r="C3162" s="784"/>
    </row>
    <row r="3163" spans="3:3" x14ac:dyDescent="0.25">
      <c r="C3163" s="784"/>
    </row>
    <row r="3164" spans="3:3" x14ac:dyDescent="0.25">
      <c r="C3164" s="784"/>
    </row>
    <row r="3165" spans="3:3" x14ac:dyDescent="0.25">
      <c r="C3165" s="784"/>
    </row>
    <row r="3166" spans="3:3" x14ac:dyDescent="0.25">
      <c r="C3166" s="784"/>
    </row>
    <row r="3167" spans="3:3" x14ac:dyDescent="0.25">
      <c r="C3167" s="784"/>
    </row>
    <row r="3168" spans="3:3" x14ac:dyDescent="0.25">
      <c r="C3168" s="784"/>
    </row>
    <row r="3169" spans="3:3" x14ac:dyDescent="0.25">
      <c r="C3169" s="784"/>
    </row>
    <row r="3170" spans="3:3" x14ac:dyDescent="0.25">
      <c r="C3170" s="784"/>
    </row>
    <row r="3171" spans="3:3" x14ac:dyDescent="0.25">
      <c r="C3171" s="784"/>
    </row>
    <row r="3172" spans="3:3" x14ac:dyDescent="0.25">
      <c r="C3172" s="784"/>
    </row>
    <row r="3173" spans="3:3" x14ac:dyDescent="0.25">
      <c r="C3173" s="784"/>
    </row>
    <row r="3174" spans="3:3" x14ac:dyDescent="0.25">
      <c r="C3174" s="784"/>
    </row>
    <row r="3175" spans="3:3" x14ac:dyDescent="0.25">
      <c r="C3175" s="784"/>
    </row>
    <row r="3176" spans="3:3" x14ac:dyDescent="0.25">
      <c r="C3176" s="784"/>
    </row>
    <row r="3177" spans="3:3" x14ac:dyDescent="0.25">
      <c r="C3177" s="784"/>
    </row>
    <row r="3178" spans="3:3" x14ac:dyDescent="0.25">
      <c r="C3178" s="784"/>
    </row>
    <row r="3179" spans="3:3" x14ac:dyDescent="0.25">
      <c r="C3179" s="784"/>
    </row>
    <row r="3180" spans="3:3" x14ac:dyDescent="0.25">
      <c r="C3180" s="784"/>
    </row>
    <row r="3181" spans="3:3" x14ac:dyDescent="0.25">
      <c r="C3181" s="784"/>
    </row>
    <row r="3182" spans="3:3" x14ac:dyDescent="0.25">
      <c r="C3182" s="784"/>
    </row>
    <row r="3183" spans="3:3" x14ac:dyDescent="0.25">
      <c r="C3183" s="784"/>
    </row>
    <row r="3184" spans="3:3" x14ac:dyDescent="0.25">
      <c r="C3184" s="784"/>
    </row>
    <row r="3185" spans="3:3" x14ac:dyDescent="0.25">
      <c r="C3185" s="784"/>
    </row>
    <row r="3186" spans="3:3" x14ac:dyDescent="0.25">
      <c r="C3186" s="784"/>
    </row>
    <row r="3187" spans="3:3" x14ac:dyDescent="0.25">
      <c r="C3187" s="784"/>
    </row>
    <row r="3188" spans="3:3" x14ac:dyDescent="0.25">
      <c r="C3188" s="784"/>
    </row>
    <row r="3189" spans="3:3" x14ac:dyDescent="0.25">
      <c r="C3189" s="784"/>
    </row>
    <row r="3190" spans="3:3" x14ac:dyDescent="0.25">
      <c r="C3190" s="784"/>
    </row>
    <row r="3191" spans="3:3" x14ac:dyDescent="0.25">
      <c r="C3191" s="784"/>
    </row>
    <row r="3192" spans="3:3" x14ac:dyDescent="0.25">
      <c r="C3192" s="784"/>
    </row>
    <row r="3193" spans="3:3" x14ac:dyDescent="0.25">
      <c r="C3193" s="784"/>
    </row>
    <row r="3194" spans="3:3" x14ac:dyDescent="0.25">
      <c r="C3194" s="784"/>
    </row>
    <row r="3195" spans="3:3" x14ac:dyDescent="0.25">
      <c r="C3195" s="784"/>
    </row>
    <row r="3196" spans="3:3" x14ac:dyDescent="0.25">
      <c r="C3196" s="784"/>
    </row>
    <row r="3197" spans="3:3" x14ac:dyDescent="0.25">
      <c r="C3197" s="784"/>
    </row>
    <row r="3198" spans="3:3" x14ac:dyDescent="0.25">
      <c r="C3198" s="784"/>
    </row>
    <row r="3199" spans="3:3" x14ac:dyDescent="0.25">
      <c r="C3199" s="784"/>
    </row>
    <row r="3200" spans="3:3" x14ac:dyDescent="0.25">
      <c r="C3200" s="784"/>
    </row>
    <row r="3201" spans="3:3" x14ac:dyDescent="0.25">
      <c r="C3201" s="784"/>
    </row>
    <row r="3202" spans="3:3" x14ac:dyDescent="0.25">
      <c r="C3202" s="784"/>
    </row>
    <row r="3203" spans="3:3" x14ac:dyDescent="0.25">
      <c r="C3203" s="784"/>
    </row>
    <row r="3204" spans="3:3" x14ac:dyDescent="0.25">
      <c r="C3204" s="784"/>
    </row>
    <row r="3205" spans="3:3" x14ac:dyDescent="0.25">
      <c r="C3205" s="784"/>
    </row>
    <row r="3206" spans="3:3" x14ac:dyDescent="0.25">
      <c r="C3206" s="784"/>
    </row>
    <row r="3207" spans="3:3" x14ac:dyDescent="0.25">
      <c r="C3207" s="784"/>
    </row>
    <row r="3208" spans="3:3" x14ac:dyDescent="0.25">
      <c r="C3208" s="784"/>
    </row>
    <row r="3209" spans="3:3" x14ac:dyDescent="0.25">
      <c r="C3209" s="784"/>
    </row>
    <row r="3210" spans="3:3" x14ac:dyDescent="0.25">
      <c r="C3210" s="784"/>
    </row>
    <row r="3211" spans="3:3" x14ac:dyDescent="0.25">
      <c r="C3211" s="784"/>
    </row>
    <row r="3212" spans="3:3" x14ac:dyDescent="0.25">
      <c r="C3212" s="784"/>
    </row>
    <row r="3213" spans="3:3" x14ac:dyDescent="0.25">
      <c r="C3213" s="784"/>
    </row>
    <row r="3214" spans="3:3" x14ac:dyDescent="0.25">
      <c r="C3214" s="784"/>
    </row>
    <row r="3215" spans="3:3" x14ac:dyDescent="0.25">
      <c r="C3215" s="784"/>
    </row>
    <row r="3216" spans="3:3" x14ac:dyDescent="0.25">
      <c r="C3216" s="784"/>
    </row>
    <row r="3217" spans="3:3" x14ac:dyDescent="0.25">
      <c r="C3217" s="784"/>
    </row>
    <row r="3218" spans="3:3" x14ac:dyDescent="0.25">
      <c r="C3218" s="784"/>
    </row>
    <row r="3219" spans="3:3" x14ac:dyDescent="0.25">
      <c r="C3219" s="784"/>
    </row>
    <row r="3220" spans="3:3" x14ac:dyDescent="0.25">
      <c r="C3220" s="784"/>
    </row>
    <row r="3221" spans="3:3" x14ac:dyDescent="0.25">
      <c r="C3221" s="784"/>
    </row>
    <row r="3222" spans="3:3" x14ac:dyDescent="0.25">
      <c r="C3222" s="784"/>
    </row>
    <row r="3223" spans="3:3" x14ac:dyDescent="0.25">
      <c r="C3223" s="784"/>
    </row>
    <row r="3224" spans="3:3" x14ac:dyDescent="0.25">
      <c r="C3224" s="784"/>
    </row>
    <row r="3225" spans="3:3" x14ac:dyDescent="0.25">
      <c r="C3225" s="784"/>
    </row>
    <row r="3226" spans="3:3" x14ac:dyDescent="0.25">
      <c r="C3226" s="784"/>
    </row>
    <row r="3227" spans="3:3" x14ac:dyDescent="0.25">
      <c r="C3227" s="784"/>
    </row>
    <row r="3228" spans="3:3" x14ac:dyDescent="0.25">
      <c r="C3228" s="784"/>
    </row>
    <row r="3229" spans="3:3" x14ac:dyDescent="0.25">
      <c r="C3229" s="784"/>
    </row>
    <row r="3230" spans="3:3" x14ac:dyDescent="0.25">
      <c r="C3230" s="784"/>
    </row>
    <row r="3231" spans="3:3" x14ac:dyDescent="0.25">
      <c r="C3231" s="784"/>
    </row>
    <row r="3232" spans="3:3" x14ac:dyDescent="0.25">
      <c r="C3232" s="784"/>
    </row>
    <row r="3233" spans="3:3" x14ac:dyDescent="0.25">
      <c r="C3233" s="784"/>
    </row>
    <row r="3234" spans="3:3" x14ac:dyDescent="0.25">
      <c r="C3234" s="784"/>
    </row>
    <row r="3235" spans="3:3" x14ac:dyDescent="0.25">
      <c r="C3235" s="784"/>
    </row>
    <row r="3236" spans="3:3" x14ac:dyDescent="0.25">
      <c r="C3236" s="784"/>
    </row>
    <row r="3237" spans="3:3" x14ac:dyDescent="0.25">
      <c r="C3237" s="784"/>
    </row>
    <row r="3238" spans="3:3" x14ac:dyDescent="0.25">
      <c r="C3238" s="784"/>
    </row>
    <row r="3239" spans="3:3" x14ac:dyDescent="0.25">
      <c r="C3239" s="784"/>
    </row>
    <row r="3240" spans="3:3" x14ac:dyDescent="0.25">
      <c r="C3240" s="784"/>
    </row>
    <row r="3241" spans="3:3" x14ac:dyDescent="0.25">
      <c r="C3241" s="784"/>
    </row>
    <row r="3242" spans="3:3" x14ac:dyDescent="0.25">
      <c r="C3242" s="784"/>
    </row>
    <row r="3243" spans="3:3" x14ac:dyDescent="0.25">
      <c r="C3243" s="784"/>
    </row>
    <row r="3244" spans="3:3" x14ac:dyDescent="0.25">
      <c r="C3244" s="784"/>
    </row>
    <row r="3245" spans="3:3" x14ac:dyDescent="0.25">
      <c r="C3245" s="784"/>
    </row>
    <row r="3246" spans="3:3" x14ac:dyDescent="0.25">
      <c r="C3246" s="784"/>
    </row>
    <row r="3247" spans="3:3" x14ac:dyDescent="0.25">
      <c r="C3247" s="784"/>
    </row>
    <row r="3248" spans="3:3" x14ac:dyDescent="0.25">
      <c r="C3248" s="784"/>
    </row>
    <row r="3249" spans="3:3" x14ac:dyDescent="0.25">
      <c r="C3249" s="784"/>
    </row>
    <row r="3250" spans="3:3" x14ac:dyDescent="0.25">
      <c r="C3250" s="784"/>
    </row>
    <row r="3251" spans="3:3" x14ac:dyDescent="0.25">
      <c r="C3251" s="784"/>
    </row>
    <row r="3252" spans="3:3" x14ac:dyDescent="0.25">
      <c r="C3252" s="784"/>
    </row>
    <row r="3253" spans="3:3" x14ac:dyDescent="0.25">
      <c r="C3253" s="784"/>
    </row>
    <row r="3254" spans="3:3" x14ac:dyDescent="0.25">
      <c r="C3254" s="784"/>
    </row>
    <row r="3255" spans="3:3" x14ac:dyDescent="0.25">
      <c r="C3255" s="784"/>
    </row>
    <row r="3256" spans="3:3" x14ac:dyDescent="0.25">
      <c r="C3256" s="784"/>
    </row>
    <row r="3257" spans="3:3" x14ac:dyDescent="0.25">
      <c r="C3257" s="784"/>
    </row>
    <row r="3258" spans="3:3" x14ac:dyDescent="0.25">
      <c r="C3258" s="784"/>
    </row>
    <row r="3259" spans="3:3" x14ac:dyDescent="0.25">
      <c r="C3259" s="784"/>
    </row>
    <row r="3260" spans="3:3" x14ac:dyDescent="0.25">
      <c r="C3260" s="784"/>
    </row>
    <row r="3261" spans="3:3" x14ac:dyDescent="0.25">
      <c r="C3261" s="784"/>
    </row>
    <row r="3262" spans="3:3" x14ac:dyDescent="0.25">
      <c r="C3262" s="784"/>
    </row>
    <row r="3263" spans="3:3" x14ac:dyDescent="0.25">
      <c r="C3263" s="784"/>
    </row>
    <row r="3264" spans="3:3" x14ac:dyDescent="0.25">
      <c r="C3264" s="784"/>
    </row>
    <row r="3265" spans="3:3" x14ac:dyDescent="0.25">
      <c r="C3265" s="784"/>
    </row>
    <row r="3266" spans="3:3" x14ac:dyDescent="0.25">
      <c r="C3266" s="784"/>
    </row>
    <row r="3267" spans="3:3" x14ac:dyDescent="0.25">
      <c r="C3267" s="784"/>
    </row>
    <row r="3268" spans="3:3" x14ac:dyDescent="0.25">
      <c r="C3268" s="784"/>
    </row>
    <row r="3269" spans="3:3" x14ac:dyDescent="0.25">
      <c r="C3269" s="784"/>
    </row>
    <row r="3270" spans="3:3" x14ac:dyDescent="0.25">
      <c r="C3270" s="784"/>
    </row>
    <row r="3271" spans="3:3" x14ac:dyDescent="0.25">
      <c r="C3271" s="784"/>
    </row>
    <row r="3272" spans="3:3" x14ac:dyDescent="0.25">
      <c r="C3272" s="784"/>
    </row>
    <row r="3273" spans="3:3" x14ac:dyDescent="0.25">
      <c r="C3273" s="784"/>
    </row>
    <row r="3274" spans="3:3" x14ac:dyDescent="0.25">
      <c r="C3274" s="784"/>
    </row>
    <row r="3275" spans="3:3" x14ac:dyDescent="0.25">
      <c r="C3275" s="784"/>
    </row>
    <row r="3276" spans="3:3" x14ac:dyDescent="0.25">
      <c r="C3276" s="784"/>
    </row>
    <row r="3277" spans="3:3" x14ac:dyDescent="0.25">
      <c r="C3277" s="784"/>
    </row>
    <row r="3278" spans="3:3" x14ac:dyDescent="0.25">
      <c r="C3278" s="784"/>
    </row>
    <row r="3279" spans="3:3" x14ac:dyDescent="0.25">
      <c r="C3279" s="784"/>
    </row>
    <row r="3280" spans="3:3" x14ac:dyDescent="0.25">
      <c r="C3280" s="784"/>
    </row>
    <row r="3281" spans="3:3" x14ac:dyDescent="0.25">
      <c r="C3281" s="784"/>
    </row>
    <row r="3282" spans="3:3" x14ac:dyDescent="0.25">
      <c r="C3282" s="784"/>
    </row>
    <row r="3283" spans="3:3" x14ac:dyDescent="0.25">
      <c r="C3283" s="784"/>
    </row>
    <row r="3284" spans="3:3" x14ac:dyDescent="0.25">
      <c r="C3284" s="784"/>
    </row>
    <row r="3285" spans="3:3" x14ac:dyDescent="0.25">
      <c r="C3285" s="784"/>
    </row>
    <row r="3286" spans="3:3" x14ac:dyDescent="0.25">
      <c r="C3286" s="784"/>
    </row>
    <row r="3287" spans="3:3" x14ac:dyDescent="0.25">
      <c r="C3287" s="784"/>
    </row>
    <row r="3288" spans="3:3" x14ac:dyDescent="0.25">
      <c r="C3288" s="784"/>
    </row>
    <row r="3289" spans="3:3" x14ac:dyDescent="0.25">
      <c r="C3289" s="784"/>
    </row>
    <row r="3290" spans="3:3" x14ac:dyDescent="0.25">
      <c r="C3290" s="784"/>
    </row>
    <row r="3291" spans="3:3" x14ac:dyDescent="0.25">
      <c r="C3291" s="784"/>
    </row>
    <row r="3292" spans="3:3" x14ac:dyDescent="0.25">
      <c r="C3292" s="784"/>
    </row>
    <row r="3293" spans="3:3" x14ac:dyDescent="0.25">
      <c r="C3293" s="784"/>
    </row>
    <row r="3294" spans="3:3" x14ac:dyDescent="0.25">
      <c r="C3294" s="784"/>
    </row>
    <row r="3295" spans="3:3" x14ac:dyDescent="0.25">
      <c r="C3295" s="784"/>
    </row>
    <row r="3296" spans="3:3" x14ac:dyDescent="0.25">
      <c r="C3296" s="784"/>
    </row>
    <row r="3297" spans="3:3" x14ac:dyDescent="0.25">
      <c r="C3297" s="784"/>
    </row>
    <row r="3298" spans="3:3" x14ac:dyDescent="0.25">
      <c r="C3298" s="784"/>
    </row>
    <row r="3299" spans="3:3" x14ac:dyDescent="0.25">
      <c r="C3299" s="784"/>
    </row>
    <row r="3300" spans="3:3" x14ac:dyDescent="0.25">
      <c r="C3300" s="784"/>
    </row>
    <row r="3301" spans="3:3" x14ac:dyDescent="0.25">
      <c r="C3301" s="784"/>
    </row>
    <row r="3302" spans="3:3" x14ac:dyDescent="0.25">
      <c r="C3302" s="784"/>
    </row>
    <row r="3303" spans="3:3" x14ac:dyDescent="0.25">
      <c r="C3303" s="784"/>
    </row>
    <row r="3304" spans="3:3" x14ac:dyDescent="0.25">
      <c r="C3304" s="784"/>
    </row>
    <row r="3305" spans="3:3" x14ac:dyDescent="0.25">
      <c r="C3305" s="784"/>
    </row>
    <row r="3306" spans="3:3" x14ac:dyDescent="0.25">
      <c r="C3306" s="784"/>
    </row>
    <row r="3307" spans="3:3" x14ac:dyDescent="0.25">
      <c r="C3307" s="784"/>
    </row>
    <row r="3308" spans="3:3" x14ac:dyDescent="0.25">
      <c r="C3308" s="784"/>
    </row>
    <row r="3309" spans="3:3" x14ac:dyDescent="0.25">
      <c r="C3309" s="784"/>
    </row>
    <row r="3310" spans="3:3" x14ac:dyDescent="0.25">
      <c r="C3310" s="784"/>
    </row>
    <row r="3311" spans="3:3" x14ac:dyDescent="0.25">
      <c r="C3311" s="784"/>
    </row>
    <row r="3312" spans="3:3" x14ac:dyDescent="0.25">
      <c r="C3312" s="784"/>
    </row>
    <row r="3313" spans="3:3" x14ac:dyDescent="0.25">
      <c r="C3313" s="784"/>
    </row>
    <row r="3314" spans="3:3" x14ac:dyDescent="0.25">
      <c r="C3314" s="784"/>
    </row>
    <row r="3315" spans="3:3" x14ac:dyDescent="0.25">
      <c r="C3315" s="784"/>
    </row>
    <row r="3316" spans="3:3" x14ac:dyDescent="0.25">
      <c r="C3316" s="784"/>
    </row>
    <row r="3317" spans="3:3" x14ac:dyDescent="0.25">
      <c r="C3317" s="784"/>
    </row>
    <row r="3318" spans="3:3" x14ac:dyDescent="0.25">
      <c r="C3318" s="784"/>
    </row>
    <row r="3319" spans="3:3" x14ac:dyDescent="0.25">
      <c r="C3319" s="784"/>
    </row>
    <row r="3320" spans="3:3" x14ac:dyDescent="0.25">
      <c r="C3320" s="784"/>
    </row>
    <row r="3321" spans="3:3" x14ac:dyDescent="0.25">
      <c r="C3321" s="784"/>
    </row>
    <row r="3322" spans="3:3" x14ac:dyDescent="0.25">
      <c r="C3322" s="784"/>
    </row>
    <row r="3323" spans="3:3" x14ac:dyDescent="0.25">
      <c r="C3323" s="784"/>
    </row>
    <row r="3324" spans="3:3" x14ac:dyDescent="0.25">
      <c r="C3324" s="784"/>
    </row>
    <row r="3325" spans="3:3" x14ac:dyDescent="0.25">
      <c r="C3325" s="784"/>
    </row>
    <row r="3326" spans="3:3" x14ac:dyDescent="0.25">
      <c r="C3326" s="784"/>
    </row>
    <row r="3327" spans="3:3" x14ac:dyDescent="0.25">
      <c r="C3327" s="784"/>
    </row>
    <row r="3328" spans="3:3" x14ac:dyDescent="0.25">
      <c r="C3328" s="784"/>
    </row>
    <row r="3329" spans="3:3" x14ac:dyDescent="0.25">
      <c r="C3329" s="784"/>
    </row>
    <row r="3330" spans="3:3" x14ac:dyDescent="0.25">
      <c r="C3330" s="784"/>
    </row>
    <row r="3331" spans="3:3" x14ac:dyDescent="0.25">
      <c r="C3331" s="784"/>
    </row>
    <row r="3332" spans="3:3" x14ac:dyDescent="0.25">
      <c r="C3332" s="784"/>
    </row>
    <row r="3333" spans="3:3" x14ac:dyDescent="0.25">
      <c r="C3333" s="784"/>
    </row>
    <row r="3334" spans="3:3" x14ac:dyDescent="0.25">
      <c r="C3334" s="784"/>
    </row>
    <row r="3335" spans="3:3" x14ac:dyDescent="0.25">
      <c r="C3335" s="784"/>
    </row>
    <row r="3336" spans="3:3" x14ac:dyDescent="0.25">
      <c r="C3336" s="784"/>
    </row>
    <row r="3337" spans="3:3" x14ac:dyDescent="0.25">
      <c r="C3337" s="784"/>
    </row>
    <row r="3338" spans="3:3" x14ac:dyDescent="0.25">
      <c r="C3338" s="784"/>
    </row>
    <row r="3339" spans="3:3" x14ac:dyDescent="0.25">
      <c r="C3339" s="784"/>
    </row>
    <row r="3340" spans="3:3" x14ac:dyDescent="0.25">
      <c r="C3340" s="784"/>
    </row>
    <row r="3341" spans="3:3" x14ac:dyDescent="0.25">
      <c r="C3341" s="784"/>
    </row>
    <row r="3342" spans="3:3" x14ac:dyDescent="0.25">
      <c r="C3342" s="784"/>
    </row>
    <row r="3343" spans="3:3" x14ac:dyDescent="0.25">
      <c r="C3343" s="784"/>
    </row>
    <row r="3344" spans="3:3" x14ac:dyDescent="0.25">
      <c r="C3344" s="784"/>
    </row>
    <row r="3345" spans="3:3" x14ac:dyDescent="0.25">
      <c r="C3345" s="784"/>
    </row>
    <row r="3346" spans="3:3" x14ac:dyDescent="0.25">
      <c r="C3346" s="784"/>
    </row>
    <row r="3347" spans="3:3" x14ac:dyDescent="0.25">
      <c r="C3347" s="784"/>
    </row>
    <row r="3348" spans="3:3" x14ac:dyDescent="0.25">
      <c r="C3348" s="784"/>
    </row>
    <row r="3349" spans="3:3" x14ac:dyDescent="0.25">
      <c r="C3349" s="784"/>
    </row>
    <row r="3350" spans="3:3" x14ac:dyDescent="0.25">
      <c r="C3350" s="784"/>
    </row>
    <row r="3351" spans="3:3" x14ac:dyDescent="0.25">
      <c r="C3351" s="784"/>
    </row>
    <row r="3352" spans="3:3" x14ac:dyDescent="0.25">
      <c r="C3352" s="784"/>
    </row>
    <row r="3353" spans="3:3" x14ac:dyDescent="0.25">
      <c r="C3353" s="784"/>
    </row>
    <row r="3354" spans="3:3" x14ac:dyDescent="0.25">
      <c r="C3354" s="784"/>
    </row>
    <row r="3355" spans="3:3" x14ac:dyDescent="0.25">
      <c r="C3355" s="784"/>
    </row>
    <row r="3356" spans="3:3" x14ac:dyDescent="0.25">
      <c r="C3356" s="784"/>
    </row>
    <row r="3357" spans="3:3" x14ac:dyDescent="0.25">
      <c r="C3357" s="784"/>
    </row>
    <row r="3358" spans="3:3" x14ac:dyDescent="0.25">
      <c r="C3358" s="784"/>
    </row>
    <row r="3359" spans="3:3" x14ac:dyDescent="0.25">
      <c r="C3359" s="784"/>
    </row>
    <row r="3360" spans="3:3" x14ac:dyDescent="0.25">
      <c r="C3360" s="784"/>
    </row>
    <row r="3361" spans="3:3" x14ac:dyDescent="0.25">
      <c r="C3361" s="784"/>
    </row>
    <row r="3362" spans="3:3" x14ac:dyDescent="0.25">
      <c r="C3362" s="784"/>
    </row>
    <row r="3363" spans="3:3" x14ac:dyDescent="0.25">
      <c r="C3363" s="784"/>
    </row>
    <row r="3364" spans="3:3" x14ac:dyDescent="0.25">
      <c r="C3364" s="784"/>
    </row>
    <row r="3365" spans="3:3" x14ac:dyDescent="0.25">
      <c r="C3365" s="784"/>
    </row>
    <row r="3366" spans="3:3" x14ac:dyDescent="0.25">
      <c r="C3366" s="784"/>
    </row>
    <row r="3367" spans="3:3" x14ac:dyDescent="0.25">
      <c r="C3367" s="784"/>
    </row>
    <row r="3368" spans="3:3" x14ac:dyDescent="0.25">
      <c r="C3368" s="784"/>
    </row>
    <row r="3369" spans="3:3" x14ac:dyDescent="0.25">
      <c r="C3369" s="784"/>
    </row>
    <row r="3370" spans="3:3" x14ac:dyDescent="0.25">
      <c r="C3370" s="784"/>
    </row>
    <row r="3371" spans="3:3" x14ac:dyDescent="0.25">
      <c r="C3371" s="784"/>
    </row>
    <row r="3372" spans="3:3" x14ac:dyDescent="0.25">
      <c r="C3372" s="784"/>
    </row>
    <row r="3373" spans="3:3" x14ac:dyDescent="0.25">
      <c r="C3373" s="784"/>
    </row>
    <row r="3374" spans="3:3" x14ac:dyDescent="0.25">
      <c r="C3374" s="784"/>
    </row>
    <row r="3375" spans="3:3" x14ac:dyDescent="0.25">
      <c r="C3375" s="784"/>
    </row>
    <row r="3376" spans="3:3" x14ac:dyDescent="0.25">
      <c r="C3376" s="784"/>
    </row>
    <row r="3377" spans="3:3" x14ac:dyDescent="0.25">
      <c r="C3377" s="784"/>
    </row>
    <row r="3378" spans="3:3" x14ac:dyDescent="0.25">
      <c r="C3378" s="784"/>
    </row>
    <row r="3379" spans="3:3" x14ac:dyDescent="0.25">
      <c r="C3379" s="784"/>
    </row>
    <row r="3380" spans="3:3" x14ac:dyDescent="0.25">
      <c r="C3380" s="784"/>
    </row>
    <row r="3381" spans="3:3" x14ac:dyDescent="0.25">
      <c r="C3381" s="784"/>
    </row>
    <row r="3382" spans="3:3" x14ac:dyDescent="0.25">
      <c r="C3382" s="784"/>
    </row>
    <row r="3383" spans="3:3" x14ac:dyDescent="0.25">
      <c r="C3383" s="784"/>
    </row>
    <row r="3384" spans="3:3" x14ac:dyDescent="0.25">
      <c r="C3384" s="784"/>
    </row>
    <row r="3385" spans="3:3" x14ac:dyDescent="0.25">
      <c r="C3385" s="784"/>
    </row>
    <row r="3386" spans="3:3" x14ac:dyDescent="0.25">
      <c r="C3386" s="784"/>
    </row>
    <row r="3387" spans="3:3" x14ac:dyDescent="0.25">
      <c r="C3387" s="784"/>
    </row>
    <row r="3388" spans="3:3" x14ac:dyDescent="0.25">
      <c r="C3388" s="784"/>
    </row>
    <row r="3389" spans="3:3" x14ac:dyDescent="0.25">
      <c r="C3389" s="784"/>
    </row>
    <row r="3390" spans="3:3" x14ac:dyDescent="0.25">
      <c r="C3390" s="784"/>
    </row>
    <row r="3391" spans="3:3" x14ac:dyDescent="0.25">
      <c r="C3391" s="784"/>
    </row>
    <row r="3392" spans="3:3" x14ac:dyDescent="0.25">
      <c r="C3392" s="784"/>
    </row>
    <row r="3393" spans="3:3" x14ac:dyDescent="0.25">
      <c r="C3393" s="784"/>
    </row>
    <row r="3394" spans="3:3" x14ac:dyDescent="0.25">
      <c r="C3394" s="784"/>
    </row>
    <row r="3395" spans="3:3" x14ac:dyDescent="0.25">
      <c r="C3395" s="784"/>
    </row>
    <row r="3396" spans="3:3" x14ac:dyDescent="0.25">
      <c r="C3396" s="784"/>
    </row>
    <row r="3397" spans="3:3" x14ac:dyDescent="0.25">
      <c r="C3397" s="784"/>
    </row>
    <row r="3398" spans="3:3" x14ac:dyDescent="0.25">
      <c r="C3398" s="784"/>
    </row>
    <row r="3399" spans="3:3" x14ac:dyDescent="0.25">
      <c r="C3399" s="784"/>
    </row>
    <row r="3400" spans="3:3" x14ac:dyDescent="0.25">
      <c r="C3400" s="784"/>
    </row>
    <row r="3401" spans="3:3" x14ac:dyDescent="0.25">
      <c r="C3401" s="784"/>
    </row>
    <row r="3402" spans="3:3" x14ac:dyDescent="0.25">
      <c r="C3402" s="784"/>
    </row>
    <row r="3403" spans="3:3" x14ac:dyDescent="0.25">
      <c r="C3403" s="784"/>
    </row>
    <row r="3404" spans="3:3" x14ac:dyDescent="0.25">
      <c r="C3404" s="784"/>
    </row>
    <row r="3405" spans="3:3" x14ac:dyDescent="0.25">
      <c r="C3405" s="784"/>
    </row>
    <row r="3406" spans="3:3" x14ac:dyDescent="0.25">
      <c r="C3406" s="784"/>
    </row>
    <row r="3407" spans="3:3" x14ac:dyDescent="0.25">
      <c r="C3407" s="784"/>
    </row>
    <row r="3408" spans="3:3" x14ac:dyDescent="0.25">
      <c r="C3408" s="784"/>
    </row>
    <row r="3409" spans="3:3" x14ac:dyDescent="0.25">
      <c r="C3409" s="784"/>
    </row>
    <row r="3410" spans="3:3" x14ac:dyDescent="0.25">
      <c r="C3410" s="784"/>
    </row>
    <row r="3411" spans="3:3" x14ac:dyDescent="0.25">
      <c r="C3411" s="784"/>
    </row>
    <row r="3412" spans="3:3" x14ac:dyDescent="0.25">
      <c r="C3412" s="784"/>
    </row>
    <row r="3413" spans="3:3" x14ac:dyDescent="0.25">
      <c r="C3413" s="784"/>
    </row>
    <row r="3414" spans="3:3" x14ac:dyDescent="0.25">
      <c r="C3414" s="784"/>
    </row>
    <row r="3415" spans="3:3" x14ac:dyDescent="0.25">
      <c r="C3415" s="784"/>
    </row>
    <row r="3416" spans="3:3" x14ac:dyDescent="0.25">
      <c r="C3416" s="784"/>
    </row>
    <row r="3417" spans="3:3" x14ac:dyDescent="0.25">
      <c r="C3417" s="784"/>
    </row>
    <row r="3418" spans="3:3" x14ac:dyDescent="0.25">
      <c r="C3418" s="784"/>
    </row>
    <row r="3419" spans="3:3" x14ac:dyDescent="0.25">
      <c r="C3419" s="784"/>
    </row>
    <row r="3420" spans="3:3" x14ac:dyDescent="0.25">
      <c r="C3420" s="784"/>
    </row>
    <row r="3421" spans="3:3" x14ac:dyDescent="0.25">
      <c r="C3421" s="784"/>
    </row>
    <row r="3422" spans="3:3" x14ac:dyDescent="0.25">
      <c r="C3422" s="784"/>
    </row>
    <row r="3423" spans="3:3" x14ac:dyDescent="0.25">
      <c r="C3423" s="784"/>
    </row>
    <row r="3424" spans="3:3" x14ac:dyDescent="0.25">
      <c r="C3424" s="784"/>
    </row>
    <row r="3425" spans="3:3" x14ac:dyDescent="0.25">
      <c r="C3425" s="784"/>
    </row>
    <row r="3426" spans="3:3" x14ac:dyDescent="0.25">
      <c r="C3426" s="784"/>
    </row>
    <row r="3427" spans="3:3" x14ac:dyDescent="0.25">
      <c r="C3427" s="784"/>
    </row>
    <row r="3428" spans="3:3" x14ac:dyDescent="0.25">
      <c r="C3428" s="784"/>
    </row>
    <row r="3429" spans="3:3" x14ac:dyDescent="0.25">
      <c r="C3429" s="784"/>
    </row>
    <row r="3430" spans="3:3" x14ac:dyDescent="0.25">
      <c r="C3430" s="784"/>
    </row>
    <row r="3431" spans="3:3" x14ac:dyDescent="0.25">
      <c r="C3431" s="784"/>
    </row>
    <row r="3432" spans="3:3" x14ac:dyDescent="0.25">
      <c r="C3432" s="784"/>
    </row>
    <row r="3433" spans="3:3" x14ac:dyDescent="0.25">
      <c r="C3433" s="784"/>
    </row>
    <row r="3434" spans="3:3" x14ac:dyDescent="0.25">
      <c r="C3434" s="784"/>
    </row>
    <row r="3435" spans="3:3" x14ac:dyDescent="0.25">
      <c r="C3435" s="784"/>
    </row>
    <row r="3436" spans="3:3" x14ac:dyDescent="0.25">
      <c r="C3436" s="784"/>
    </row>
    <row r="3437" spans="3:3" x14ac:dyDescent="0.25">
      <c r="C3437" s="784"/>
    </row>
    <row r="3438" spans="3:3" x14ac:dyDescent="0.25">
      <c r="C3438" s="784"/>
    </row>
    <row r="3439" spans="3:3" x14ac:dyDescent="0.25">
      <c r="C3439" s="784"/>
    </row>
    <row r="3440" spans="3:3" x14ac:dyDescent="0.25">
      <c r="C3440" s="784"/>
    </row>
    <row r="3441" spans="3:3" x14ac:dyDescent="0.25">
      <c r="C3441" s="784"/>
    </row>
    <row r="3442" spans="3:3" x14ac:dyDescent="0.25">
      <c r="C3442" s="784"/>
    </row>
    <row r="3443" spans="3:3" x14ac:dyDescent="0.25">
      <c r="C3443" s="784"/>
    </row>
    <row r="3444" spans="3:3" x14ac:dyDescent="0.25">
      <c r="C3444" s="784"/>
    </row>
    <row r="3445" spans="3:3" x14ac:dyDescent="0.25">
      <c r="C3445" s="784"/>
    </row>
    <row r="3446" spans="3:3" x14ac:dyDescent="0.25">
      <c r="C3446" s="784"/>
    </row>
    <row r="3447" spans="3:3" x14ac:dyDescent="0.25">
      <c r="C3447" s="784"/>
    </row>
    <row r="3448" spans="3:3" x14ac:dyDescent="0.25">
      <c r="C3448" s="784"/>
    </row>
    <row r="3449" spans="3:3" x14ac:dyDescent="0.25">
      <c r="C3449" s="784"/>
    </row>
    <row r="3450" spans="3:3" x14ac:dyDescent="0.25">
      <c r="C3450" s="784"/>
    </row>
    <row r="3451" spans="3:3" x14ac:dyDescent="0.25">
      <c r="C3451" s="784"/>
    </row>
    <row r="3452" spans="3:3" x14ac:dyDescent="0.25">
      <c r="C3452" s="784"/>
    </row>
    <row r="3453" spans="3:3" x14ac:dyDescent="0.25">
      <c r="C3453" s="784"/>
    </row>
    <row r="3454" spans="3:3" x14ac:dyDescent="0.25">
      <c r="C3454" s="784"/>
    </row>
    <row r="3455" spans="3:3" x14ac:dyDescent="0.25">
      <c r="C3455" s="784"/>
    </row>
    <row r="3456" spans="3:3" x14ac:dyDescent="0.25">
      <c r="C3456" s="784"/>
    </row>
    <row r="3457" spans="3:3" x14ac:dyDescent="0.25">
      <c r="C3457" s="784"/>
    </row>
    <row r="3458" spans="3:3" x14ac:dyDescent="0.25">
      <c r="C3458" s="784"/>
    </row>
    <row r="3459" spans="3:3" x14ac:dyDescent="0.25">
      <c r="C3459" s="784"/>
    </row>
    <row r="3460" spans="3:3" x14ac:dyDescent="0.25">
      <c r="C3460" s="784"/>
    </row>
    <row r="3461" spans="3:3" x14ac:dyDescent="0.25">
      <c r="C3461" s="784"/>
    </row>
    <row r="3462" spans="3:3" x14ac:dyDescent="0.25">
      <c r="C3462" s="784"/>
    </row>
    <row r="3463" spans="3:3" x14ac:dyDescent="0.25">
      <c r="C3463" s="784"/>
    </row>
    <row r="3464" spans="3:3" x14ac:dyDescent="0.25">
      <c r="C3464" s="784"/>
    </row>
    <row r="3465" spans="3:3" x14ac:dyDescent="0.25">
      <c r="C3465" s="784"/>
    </row>
    <row r="3466" spans="3:3" x14ac:dyDescent="0.25">
      <c r="C3466" s="784"/>
    </row>
    <row r="3467" spans="3:3" x14ac:dyDescent="0.25">
      <c r="C3467" s="784"/>
    </row>
    <row r="3468" spans="3:3" x14ac:dyDescent="0.25">
      <c r="C3468" s="784"/>
    </row>
    <row r="3469" spans="3:3" x14ac:dyDescent="0.25">
      <c r="C3469" s="784"/>
    </row>
    <row r="3470" spans="3:3" x14ac:dyDescent="0.25">
      <c r="C3470" s="784"/>
    </row>
    <row r="3471" spans="3:3" x14ac:dyDescent="0.25">
      <c r="C3471" s="784"/>
    </row>
    <row r="3472" spans="3:3" x14ac:dyDescent="0.25">
      <c r="C3472" s="784"/>
    </row>
    <row r="3473" spans="3:3" x14ac:dyDescent="0.25">
      <c r="C3473" s="784"/>
    </row>
    <row r="3474" spans="3:3" x14ac:dyDescent="0.25">
      <c r="C3474" s="784"/>
    </row>
    <row r="3475" spans="3:3" x14ac:dyDescent="0.25">
      <c r="C3475" s="784"/>
    </row>
    <row r="3476" spans="3:3" x14ac:dyDescent="0.25">
      <c r="C3476" s="784"/>
    </row>
    <row r="3477" spans="3:3" x14ac:dyDescent="0.25">
      <c r="C3477" s="784"/>
    </row>
    <row r="3478" spans="3:3" x14ac:dyDescent="0.25">
      <c r="C3478" s="784"/>
    </row>
    <row r="3479" spans="3:3" x14ac:dyDescent="0.25">
      <c r="C3479" s="784"/>
    </row>
    <row r="3480" spans="3:3" x14ac:dyDescent="0.25">
      <c r="C3480" s="784"/>
    </row>
    <row r="3481" spans="3:3" x14ac:dyDescent="0.25">
      <c r="C3481" s="784"/>
    </row>
    <row r="3482" spans="3:3" x14ac:dyDescent="0.25">
      <c r="C3482" s="784"/>
    </row>
    <row r="3483" spans="3:3" x14ac:dyDescent="0.25">
      <c r="C3483" s="784"/>
    </row>
    <row r="3484" spans="3:3" x14ac:dyDescent="0.25">
      <c r="C3484" s="784"/>
    </row>
    <row r="3485" spans="3:3" x14ac:dyDescent="0.25">
      <c r="C3485" s="784"/>
    </row>
    <row r="3486" spans="3:3" x14ac:dyDescent="0.25">
      <c r="C3486" s="784"/>
    </row>
    <row r="3487" spans="3:3" x14ac:dyDescent="0.25">
      <c r="C3487" s="784"/>
    </row>
    <row r="3488" spans="3:3" x14ac:dyDescent="0.25">
      <c r="C3488" s="784"/>
    </row>
    <row r="3489" spans="3:3" x14ac:dyDescent="0.25">
      <c r="C3489" s="784"/>
    </row>
    <row r="3490" spans="3:3" x14ac:dyDescent="0.25">
      <c r="C3490" s="784"/>
    </row>
    <row r="3491" spans="3:3" x14ac:dyDescent="0.25">
      <c r="C3491" s="784"/>
    </row>
    <row r="3492" spans="3:3" x14ac:dyDescent="0.25">
      <c r="C3492" s="784"/>
    </row>
    <row r="3493" spans="3:3" x14ac:dyDescent="0.25">
      <c r="C3493" s="784"/>
    </row>
    <row r="3494" spans="3:3" x14ac:dyDescent="0.25">
      <c r="C3494" s="784"/>
    </row>
    <row r="3495" spans="3:3" x14ac:dyDescent="0.25">
      <c r="C3495" s="784"/>
    </row>
    <row r="3496" spans="3:3" x14ac:dyDescent="0.25">
      <c r="C3496" s="784"/>
    </row>
    <row r="3497" spans="3:3" x14ac:dyDescent="0.25">
      <c r="C3497" s="784"/>
    </row>
    <row r="3498" spans="3:3" x14ac:dyDescent="0.25">
      <c r="C3498" s="784"/>
    </row>
    <row r="3499" spans="3:3" x14ac:dyDescent="0.25">
      <c r="C3499" s="784"/>
    </row>
    <row r="3500" spans="3:3" x14ac:dyDescent="0.25">
      <c r="C3500" s="784"/>
    </row>
    <row r="3501" spans="3:3" x14ac:dyDescent="0.25">
      <c r="C3501" s="784"/>
    </row>
    <row r="3502" spans="3:3" x14ac:dyDescent="0.25">
      <c r="C3502" s="784"/>
    </row>
    <row r="3503" spans="3:3" x14ac:dyDescent="0.25">
      <c r="C3503" s="784"/>
    </row>
    <row r="3504" spans="3:3" x14ac:dyDescent="0.25">
      <c r="C3504" s="784"/>
    </row>
    <row r="3505" spans="3:3" x14ac:dyDescent="0.25">
      <c r="C3505" s="784"/>
    </row>
    <row r="3506" spans="3:3" x14ac:dyDescent="0.25">
      <c r="C3506" s="784"/>
    </row>
    <row r="3507" spans="3:3" x14ac:dyDescent="0.25">
      <c r="C3507" s="784"/>
    </row>
    <row r="3508" spans="3:3" x14ac:dyDescent="0.25">
      <c r="C3508" s="784"/>
    </row>
    <row r="3509" spans="3:3" x14ac:dyDescent="0.25">
      <c r="C3509" s="784"/>
    </row>
    <row r="3510" spans="3:3" x14ac:dyDescent="0.25">
      <c r="C3510" s="784"/>
    </row>
    <row r="3511" spans="3:3" x14ac:dyDescent="0.25">
      <c r="C3511" s="784"/>
    </row>
    <row r="3512" spans="3:3" x14ac:dyDescent="0.25">
      <c r="C3512" s="784"/>
    </row>
    <row r="3513" spans="3:3" x14ac:dyDescent="0.25">
      <c r="C3513" s="784"/>
    </row>
    <row r="3514" spans="3:3" x14ac:dyDescent="0.25">
      <c r="C3514" s="784"/>
    </row>
    <row r="3515" spans="3:3" x14ac:dyDescent="0.25">
      <c r="C3515" s="784"/>
    </row>
    <row r="3516" spans="3:3" x14ac:dyDescent="0.25">
      <c r="C3516" s="784"/>
    </row>
    <row r="3517" spans="3:3" x14ac:dyDescent="0.25">
      <c r="C3517" s="784"/>
    </row>
    <row r="3518" spans="3:3" x14ac:dyDescent="0.25">
      <c r="C3518" s="784"/>
    </row>
    <row r="3519" spans="3:3" x14ac:dyDescent="0.25">
      <c r="C3519" s="784"/>
    </row>
    <row r="3520" spans="3:3" x14ac:dyDescent="0.25">
      <c r="C3520" s="784"/>
    </row>
    <row r="3521" spans="3:3" x14ac:dyDescent="0.25">
      <c r="C3521" s="784"/>
    </row>
    <row r="3522" spans="3:3" x14ac:dyDescent="0.25">
      <c r="C3522" s="784"/>
    </row>
    <row r="3523" spans="3:3" x14ac:dyDescent="0.25">
      <c r="C3523" s="784"/>
    </row>
    <row r="3524" spans="3:3" x14ac:dyDescent="0.25">
      <c r="C3524" s="784"/>
    </row>
    <row r="3525" spans="3:3" x14ac:dyDescent="0.25">
      <c r="C3525" s="784"/>
    </row>
    <row r="3526" spans="3:3" x14ac:dyDescent="0.25">
      <c r="C3526" s="784"/>
    </row>
    <row r="3527" spans="3:3" x14ac:dyDescent="0.25">
      <c r="C3527" s="784"/>
    </row>
    <row r="3528" spans="3:3" x14ac:dyDescent="0.25">
      <c r="C3528" s="784"/>
    </row>
    <row r="3529" spans="3:3" x14ac:dyDescent="0.25">
      <c r="C3529" s="784"/>
    </row>
    <row r="3530" spans="3:3" x14ac:dyDescent="0.25">
      <c r="C3530" s="784"/>
    </row>
    <row r="3531" spans="3:3" x14ac:dyDescent="0.25">
      <c r="C3531" s="784"/>
    </row>
    <row r="3532" spans="3:3" x14ac:dyDescent="0.25">
      <c r="C3532" s="784"/>
    </row>
    <row r="3533" spans="3:3" x14ac:dyDescent="0.25">
      <c r="C3533" s="784"/>
    </row>
    <row r="3534" spans="3:3" x14ac:dyDescent="0.25">
      <c r="C3534" s="784"/>
    </row>
    <row r="3535" spans="3:3" x14ac:dyDescent="0.25">
      <c r="C3535" s="784"/>
    </row>
    <row r="3536" spans="3:3" x14ac:dyDescent="0.25">
      <c r="C3536" s="784"/>
    </row>
    <row r="3537" spans="3:3" x14ac:dyDescent="0.25">
      <c r="C3537" s="784"/>
    </row>
    <row r="3538" spans="3:3" x14ac:dyDescent="0.25">
      <c r="C3538" s="784"/>
    </row>
    <row r="3539" spans="3:3" x14ac:dyDescent="0.25">
      <c r="C3539" s="784"/>
    </row>
    <row r="3540" spans="3:3" x14ac:dyDescent="0.25">
      <c r="C3540" s="784"/>
    </row>
    <row r="3541" spans="3:3" x14ac:dyDescent="0.25">
      <c r="C3541" s="784"/>
    </row>
    <row r="3542" spans="3:3" x14ac:dyDescent="0.25">
      <c r="C3542" s="784"/>
    </row>
    <row r="3543" spans="3:3" x14ac:dyDescent="0.25">
      <c r="C3543" s="784"/>
    </row>
    <row r="3544" spans="3:3" x14ac:dyDescent="0.25">
      <c r="C3544" s="784"/>
    </row>
    <row r="3545" spans="3:3" x14ac:dyDescent="0.25">
      <c r="C3545" s="784"/>
    </row>
    <row r="3546" spans="3:3" x14ac:dyDescent="0.25">
      <c r="C3546" s="784"/>
    </row>
    <row r="3547" spans="3:3" x14ac:dyDescent="0.25">
      <c r="C3547" s="784"/>
    </row>
    <row r="3548" spans="3:3" x14ac:dyDescent="0.25">
      <c r="C3548" s="784"/>
    </row>
    <row r="3549" spans="3:3" x14ac:dyDescent="0.25">
      <c r="C3549" s="784"/>
    </row>
    <row r="3550" spans="3:3" x14ac:dyDescent="0.25">
      <c r="C3550" s="784"/>
    </row>
    <row r="3551" spans="3:3" x14ac:dyDescent="0.25">
      <c r="C3551" s="784"/>
    </row>
    <row r="3552" spans="3:3" x14ac:dyDescent="0.25">
      <c r="C3552" s="784"/>
    </row>
    <row r="3553" spans="3:3" x14ac:dyDescent="0.25">
      <c r="C3553" s="784"/>
    </row>
    <row r="3554" spans="3:3" x14ac:dyDescent="0.25">
      <c r="C3554" s="784"/>
    </row>
    <row r="3555" spans="3:3" x14ac:dyDescent="0.25">
      <c r="C3555" s="784"/>
    </row>
    <row r="3556" spans="3:3" x14ac:dyDescent="0.25">
      <c r="C3556" s="784"/>
    </row>
    <row r="3557" spans="3:3" x14ac:dyDescent="0.25">
      <c r="C3557" s="784"/>
    </row>
    <row r="3558" spans="3:3" x14ac:dyDescent="0.25">
      <c r="C3558" s="784"/>
    </row>
    <row r="3559" spans="3:3" x14ac:dyDescent="0.25">
      <c r="C3559" s="784"/>
    </row>
    <row r="3560" spans="3:3" x14ac:dyDescent="0.25">
      <c r="C3560" s="784"/>
    </row>
    <row r="3561" spans="3:3" x14ac:dyDescent="0.25">
      <c r="C3561" s="784"/>
    </row>
    <row r="3562" spans="3:3" x14ac:dyDescent="0.25">
      <c r="C3562" s="784"/>
    </row>
    <row r="3563" spans="3:3" x14ac:dyDescent="0.25">
      <c r="C3563" s="784"/>
    </row>
    <row r="3564" spans="3:3" x14ac:dyDescent="0.25">
      <c r="C3564" s="784"/>
    </row>
    <row r="3565" spans="3:3" x14ac:dyDescent="0.25">
      <c r="C3565" s="784"/>
    </row>
    <row r="3566" spans="3:3" x14ac:dyDescent="0.25">
      <c r="C3566" s="784"/>
    </row>
    <row r="3567" spans="3:3" x14ac:dyDescent="0.25">
      <c r="C3567" s="784"/>
    </row>
    <row r="3568" spans="3:3" x14ac:dyDescent="0.25">
      <c r="C3568" s="784"/>
    </row>
    <row r="3569" spans="3:3" x14ac:dyDescent="0.25">
      <c r="C3569" s="784"/>
    </row>
    <row r="3570" spans="3:3" x14ac:dyDescent="0.25">
      <c r="C3570" s="784"/>
    </row>
    <row r="3571" spans="3:3" x14ac:dyDescent="0.25">
      <c r="C3571" s="784"/>
    </row>
    <row r="3572" spans="3:3" x14ac:dyDescent="0.25">
      <c r="C3572" s="784"/>
    </row>
    <row r="3573" spans="3:3" x14ac:dyDescent="0.25">
      <c r="C3573" s="784"/>
    </row>
    <row r="3574" spans="3:3" x14ac:dyDescent="0.25">
      <c r="C3574" s="784"/>
    </row>
    <row r="3575" spans="3:3" x14ac:dyDescent="0.25">
      <c r="C3575" s="784"/>
    </row>
    <row r="3576" spans="3:3" x14ac:dyDescent="0.25">
      <c r="C3576" s="784"/>
    </row>
    <row r="3577" spans="3:3" x14ac:dyDescent="0.25">
      <c r="C3577" s="784"/>
    </row>
    <row r="3578" spans="3:3" x14ac:dyDescent="0.25">
      <c r="C3578" s="784"/>
    </row>
    <row r="3579" spans="3:3" x14ac:dyDescent="0.25">
      <c r="C3579" s="784"/>
    </row>
    <row r="3580" spans="3:3" x14ac:dyDescent="0.25">
      <c r="C3580" s="784"/>
    </row>
    <row r="3581" spans="3:3" x14ac:dyDescent="0.25">
      <c r="C3581" s="784"/>
    </row>
    <row r="3582" spans="3:3" x14ac:dyDescent="0.25">
      <c r="C3582" s="784"/>
    </row>
    <row r="3583" spans="3:3" x14ac:dyDescent="0.25">
      <c r="C3583" s="784"/>
    </row>
    <row r="3584" spans="3:3" x14ac:dyDescent="0.25">
      <c r="C3584" s="784"/>
    </row>
    <row r="3585" spans="3:3" x14ac:dyDescent="0.25">
      <c r="C3585" s="784"/>
    </row>
    <row r="3586" spans="3:3" x14ac:dyDescent="0.25">
      <c r="C3586" s="784"/>
    </row>
    <row r="3587" spans="3:3" x14ac:dyDescent="0.25">
      <c r="C3587" s="784"/>
    </row>
    <row r="3588" spans="3:3" x14ac:dyDescent="0.25">
      <c r="C3588" s="784"/>
    </row>
    <row r="3589" spans="3:3" x14ac:dyDescent="0.25">
      <c r="C3589" s="784"/>
    </row>
    <row r="3590" spans="3:3" x14ac:dyDescent="0.25">
      <c r="C3590" s="784"/>
    </row>
    <row r="3591" spans="3:3" x14ac:dyDescent="0.25">
      <c r="C3591" s="784"/>
    </row>
    <row r="3592" spans="3:3" x14ac:dyDescent="0.25">
      <c r="C3592" s="784"/>
    </row>
    <row r="3593" spans="3:3" x14ac:dyDescent="0.25">
      <c r="C3593" s="784"/>
    </row>
    <row r="3594" spans="3:3" x14ac:dyDescent="0.25">
      <c r="C3594" s="784"/>
    </row>
    <row r="3595" spans="3:3" x14ac:dyDescent="0.25">
      <c r="C3595" s="784"/>
    </row>
    <row r="3596" spans="3:3" x14ac:dyDescent="0.25">
      <c r="C3596" s="784"/>
    </row>
    <row r="3597" spans="3:3" x14ac:dyDescent="0.25">
      <c r="C3597" s="784"/>
    </row>
    <row r="3598" spans="3:3" x14ac:dyDescent="0.25">
      <c r="C3598" s="784"/>
    </row>
    <row r="3599" spans="3:3" x14ac:dyDescent="0.25">
      <c r="C3599" s="784"/>
    </row>
    <row r="3600" spans="3:3" x14ac:dyDescent="0.25">
      <c r="C3600" s="784"/>
    </row>
    <row r="3601" spans="3:3" x14ac:dyDescent="0.25">
      <c r="C3601" s="784"/>
    </row>
    <row r="3602" spans="3:3" x14ac:dyDescent="0.25">
      <c r="C3602" s="784"/>
    </row>
    <row r="3603" spans="3:3" x14ac:dyDescent="0.25">
      <c r="C3603" s="784"/>
    </row>
    <row r="3604" spans="3:3" x14ac:dyDescent="0.25">
      <c r="C3604" s="784"/>
    </row>
    <row r="3605" spans="3:3" x14ac:dyDescent="0.25">
      <c r="C3605" s="784"/>
    </row>
    <row r="3606" spans="3:3" x14ac:dyDescent="0.25">
      <c r="C3606" s="784"/>
    </row>
    <row r="3607" spans="3:3" x14ac:dyDescent="0.25">
      <c r="C3607" s="784"/>
    </row>
    <row r="3608" spans="3:3" x14ac:dyDescent="0.25">
      <c r="C3608" s="784"/>
    </row>
    <row r="3609" spans="3:3" x14ac:dyDescent="0.25">
      <c r="C3609" s="784"/>
    </row>
    <row r="3610" spans="3:3" x14ac:dyDescent="0.25">
      <c r="C3610" s="784"/>
    </row>
    <row r="3611" spans="3:3" x14ac:dyDescent="0.25">
      <c r="C3611" s="784"/>
    </row>
    <row r="3612" spans="3:3" x14ac:dyDescent="0.25">
      <c r="C3612" s="784"/>
    </row>
    <row r="3613" spans="3:3" x14ac:dyDescent="0.25">
      <c r="C3613" s="784"/>
    </row>
    <row r="3614" spans="3:3" x14ac:dyDescent="0.25">
      <c r="C3614" s="784"/>
    </row>
    <row r="3615" spans="3:3" x14ac:dyDescent="0.25">
      <c r="C3615" s="784"/>
    </row>
    <row r="3616" spans="3:3" x14ac:dyDescent="0.25">
      <c r="C3616" s="784"/>
    </row>
    <row r="3617" spans="3:3" x14ac:dyDescent="0.25">
      <c r="C3617" s="784"/>
    </row>
    <row r="3618" spans="3:3" x14ac:dyDescent="0.25">
      <c r="C3618" s="784"/>
    </row>
    <row r="3619" spans="3:3" x14ac:dyDescent="0.25">
      <c r="C3619" s="784"/>
    </row>
    <row r="3620" spans="3:3" x14ac:dyDescent="0.25">
      <c r="C3620" s="784"/>
    </row>
    <row r="3621" spans="3:3" x14ac:dyDescent="0.25">
      <c r="C3621" s="784"/>
    </row>
    <row r="3622" spans="3:3" x14ac:dyDescent="0.25">
      <c r="C3622" s="784"/>
    </row>
    <row r="3623" spans="3:3" x14ac:dyDescent="0.25">
      <c r="C3623" s="784"/>
    </row>
    <row r="3624" spans="3:3" x14ac:dyDescent="0.25">
      <c r="C3624" s="784"/>
    </row>
    <row r="3625" spans="3:3" x14ac:dyDescent="0.25">
      <c r="C3625" s="784"/>
    </row>
    <row r="3626" spans="3:3" x14ac:dyDescent="0.25">
      <c r="C3626" s="784"/>
    </row>
    <row r="3627" spans="3:3" x14ac:dyDescent="0.25">
      <c r="C3627" s="784"/>
    </row>
    <row r="3628" spans="3:3" x14ac:dyDescent="0.25">
      <c r="C3628" s="784"/>
    </row>
    <row r="3629" spans="3:3" x14ac:dyDescent="0.25">
      <c r="C3629" s="784"/>
    </row>
    <row r="3630" spans="3:3" x14ac:dyDescent="0.25">
      <c r="C3630" s="784"/>
    </row>
    <row r="3631" spans="3:3" x14ac:dyDescent="0.25">
      <c r="C3631" s="784"/>
    </row>
    <row r="3632" spans="3:3" x14ac:dyDescent="0.25">
      <c r="C3632" s="784"/>
    </row>
    <row r="3633" spans="3:3" x14ac:dyDescent="0.25">
      <c r="C3633" s="784"/>
    </row>
    <row r="3634" spans="3:3" x14ac:dyDescent="0.25">
      <c r="C3634" s="784"/>
    </row>
    <row r="3635" spans="3:3" x14ac:dyDescent="0.25">
      <c r="C3635" s="784"/>
    </row>
    <row r="3636" spans="3:3" x14ac:dyDescent="0.25">
      <c r="C3636" s="784"/>
    </row>
    <row r="3637" spans="3:3" x14ac:dyDescent="0.25">
      <c r="C3637" s="784"/>
    </row>
    <row r="3638" spans="3:3" x14ac:dyDescent="0.25">
      <c r="C3638" s="784"/>
    </row>
    <row r="3639" spans="3:3" x14ac:dyDescent="0.25">
      <c r="C3639" s="784"/>
    </row>
    <row r="3640" spans="3:3" x14ac:dyDescent="0.25">
      <c r="C3640" s="784"/>
    </row>
    <row r="3641" spans="3:3" x14ac:dyDescent="0.25">
      <c r="C3641" s="784"/>
    </row>
    <row r="3642" spans="3:3" x14ac:dyDescent="0.25">
      <c r="C3642" s="784"/>
    </row>
    <row r="3643" spans="3:3" x14ac:dyDescent="0.25">
      <c r="C3643" s="784"/>
    </row>
    <row r="3644" spans="3:3" x14ac:dyDescent="0.25">
      <c r="C3644" s="784"/>
    </row>
    <row r="3645" spans="3:3" x14ac:dyDescent="0.25">
      <c r="C3645" s="784"/>
    </row>
    <row r="3646" spans="3:3" x14ac:dyDescent="0.25">
      <c r="C3646" s="784"/>
    </row>
    <row r="3647" spans="3:3" x14ac:dyDescent="0.25">
      <c r="C3647" s="784"/>
    </row>
    <row r="3648" spans="3:3" x14ac:dyDescent="0.25">
      <c r="C3648" s="784"/>
    </row>
    <row r="3649" spans="3:3" x14ac:dyDescent="0.25">
      <c r="C3649" s="784"/>
    </row>
    <row r="3650" spans="3:3" x14ac:dyDescent="0.25">
      <c r="C3650" s="784"/>
    </row>
    <row r="3651" spans="3:3" x14ac:dyDescent="0.25">
      <c r="C3651" s="784"/>
    </row>
    <row r="3652" spans="3:3" x14ac:dyDescent="0.25">
      <c r="C3652" s="784"/>
    </row>
    <row r="3653" spans="3:3" x14ac:dyDescent="0.25">
      <c r="C3653" s="784"/>
    </row>
    <row r="3654" spans="3:3" x14ac:dyDescent="0.25">
      <c r="C3654" s="784"/>
    </row>
    <row r="3655" spans="3:3" x14ac:dyDescent="0.25">
      <c r="C3655" s="784"/>
    </row>
    <row r="3656" spans="3:3" x14ac:dyDescent="0.25">
      <c r="C3656" s="784"/>
    </row>
    <row r="3657" spans="3:3" x14ac:dyDescent="0.25">
      <c r="C3657" s="784"/>
    </row>
    <row r="3658" spans="3:3" x14ac:dyDescent="0.25">
      <c r="C3658" s="784"/>
    </row>
    <row r="3659" spans="3:3" x14ac:dyDescent="0.25">
      <c r="C3659" s="784"/>
    </row>
    <row r="3660" spans="3:3" x14ac:dyDescent="0.25">
      <c r="C3660" s="784"/>
    </row>
    <row r="3661" spans="3:3" x14ac:dyDescent="0.25">
      <c r="C3661" s="784"/>
    </row>
    <row r="3662" spans="3:3" x14ac:dyDescent="0.25">
      <c r="C3662" s="784"/>
    </row>
    <row r="3663" spans="3:3" x14ac:dyDescent="0.25">
      <c r="C3663" s="784"/>
    </row>
    <row r="3664" spans="3:3" x14ac:dyDescent="0.25">
      <c r="C3664" s="784"/>
    </row>
    <row r="3665" spans="3:3" x14ac:dyDescent="0.25">
      <c r="C3665" s="784"/>
    </row>
    <row r="3666" spans="3:3" x14ac:dyDescent="0.25">
      <c r="C3666" s="784"/>
    </row>
    <row r="3667" spans="3:3" x14ac:dyDescent="0.25">
      <c r="C3667" s="784"/>
    </row>
    <row r="3668" spans="3:3" x14ac:dyDescent="0.25">
      <c r="C3668" s="784"/>
    </row>
    <row r="3669" spans="3:3" x14ac:dyDescent="0.25">
      <c r="C3669" s="784"/>
    </row>
    <row r="3670" spans="3:3" x14ac:dyDescent="0.25">
      <c r="C3670" s="784"/>
    </row>
    <row r="3671" spans="3:3" x14ac:dyDescent="0.25">
      <c r="C3671" s="784"/>
    </row>
    <row r="3672" spans="3:3" x14ac:dyDescent="0.25">
      <c r="C3672" s="784"/>
    </row>
    <row r="3673" spans="3:3" x14ac:dyDescent="0.25">
      <c r="C3673" s="784"/>
    </row>
    <row r="3674" spans="3:3" x14ac:dyDescent="0.25">
      <c r="C3674" s="784"/>
    </row>
    <row r="3675" spans="3:3" x14ac:dyDescent="0.25">
      <c r="C3675" s="784"/>
    </row>
    <row r="3676" spans="3:3" x14ac:dyDescent="0.25">
      <c r="C3676" s="784"/>
    </row>
    <row r="3677" spans="3:3" x14ac:dyDescent="0.25">
      <c r="C3677" s="784"/>
    </row>
    <row r="3678" spans="3:3" x14ac:dyDescent="0.25">
      <c r="C3678" s="784"/>
    </row>
    <row r="3679" spans="3:3" x14ac:dyDescent="0.25">
      <c r="C3679" s="784"/>
    </row>
    <row r="3680" spans="3:3" x14ac:dyDescent="0.25">
      <c r="C3680" s="784"/>
    </row>
    <row r="3681" spans="3:3" x14ac:dyDescent="0.25">
      <c r="C3681" s="784"/>
    </row>
    <row r="3682" spans="3:3" x14ac:dyDescent="0.25">
      <c r="C3682" s="784"/>
    </row>
    <row r="3683" spans="3:3" x14ac:dyDescent="0.25">
      <c r="C3683" s="784"/>
    </row>
    <row r="3684" spans="3:3" x14ac:dyDescent="0.25">
      <c r="C3684" s="784"/>
    </row>
    <row r="3685" spans="3:3" x14ac:dyDescent="0.25">
      <c r="C3685" s="784"/>
    </row>
    <row r="3686" spans="3:3" x14ac:dyDescent="0.25">
      <c r="C3686" s="784"/>
    </row>
    <row r="3687" spans="3:3" x14ac:dyDescent="0.25">
      <c r="C3687" s="784"/>
    </row>
    <row r="3688" spans="3:3" x14ac:dyDescent="0.25">
      <c r="C3688" s="784"/>
    </row>
    <row r="3689" spans="3:3" x14ac:dyDescent="0.25">
      <c r="C3689" s="784"/>
    </row>
    <row r="3690" spans="3:3" x14ac:dyDescent="0.25">
      <c r="C3690" s="784"/>
    </row>
    <row r="3691" spans="3:3" x14ac:dyDescent="0.25">
      <c r="C3691" s="784"/>
    </row>
    <row r="3692" spans="3:3" x14ac:dyDescent="0.25">
      <c r="C3692" s="784"/>
    </row>
    <row r="3693" spans="3:3" x14ac:dyDescent="0.25">
      <c r="C3693" s="784"/>
    </row>
    <row r="3694" spans="3:3" x14ac:dyDescent="0.25">
      <c r="C3694" s="784"/>
    </row>
    <row r="3695" spans="3:3" x14ac:dyDescent="0.25">
      <c r="C3695" s="784"/>
    </row>
    <row r="3696" spans="3:3" x14ac:dyDescent="0.25">
      <c r="C3696" s="784"/>
    </row>
    <row r="3697" spans="3:3" x14ac:dyDescent="0.25">
      <c r="C3697" s="784"/>
    </row>
    <row r="3698" spans="3:3" x14ac:dyDescent="0.25">
      <c r="C3698" s="784"/>
    </row>
    <row r="3699" spans="3:3" x14ac:dyDescent="0.25">
      <c r="C3699" s="784"/>
    </row>
    <row r="3700" spans="3:3" x14ac:dyDescent="0.25">
      <c r="C3700" s="784"/>
    </row>
    <row r="3701" spans="3:3" x14ac:dyDescent="0.25">
      <c r="C3701" s="784"/>
    </row>
    <row r="3702" spans="3:3" x14ac:dyDescent="0.25">
      <c r="C3702" s="784"/>
    </row>
    <row r="3703" spans="3:3" x14ac:dyDescent="0.25">
      <c r="C3703" s="784"/>
    </row>
    <row r="3704" spans="3:3" x14ac:dyDescent="0.25">
      <c r="C3704" s="784"/>
    </row>
    <row r="3705" spans="3:3" x14ac:dyDescent="0.25">
      <c r="C3705" s="784"/>
    </row>
    <row r="3706" spans="3:3" x14ac:dyDescent="0.25">
      <c r="C3706" s="784"/>
    </row>
    <row r="3707" spans="3:3" x14ac:dyDescent="0.25">
      <c r="C3707" s="784"/>
    </row>
    <row r="3708" spans="3:3" x14ac:dyDescent="0.25">
      <c r="C3708" s="784"/>
    </row>
    <row r="3709" spans="3:3" x14ac:dyDescent="0.25">
      <c r="C3709" s="784"/>
    </row>
    <row r="3710" spans="3:3" x14ac:dyDescent="0.25">
      <c r="C3710" s="784"/>
    </row>
    <row r="3711" spans="3:3" x14ac:dyDescent="0.25">
      <c r="C3711" s="784"/>
    </row>
    <row r="3712" spans="3:3" x14ac:dyDescent="0.25">
      <c r="C3712" s="784"/>
    </row>
    <row r="3713" spans="3:3" x14ac:dyDescent="0.25">
      <c r="C3713" s="784"/>
    </row>
    <row r="3714" spans="3:3" x14ac:dyDescent="0.25">
      <c r="C3714" s="784"/>
    </row>
    <row r="3715" spans="3:3" x14ac:dyDescent="0.25">
      <c r="C3715" s="784"/>
    </row>
    <row r="3716" spans="3:3" x14ac:dyDescent="0.25">
      <c r="C3716" s="784"/>
    </row>
    <row r="3717" spans="3:3" x14ac:dyDescent="0.25">
      <c r="C3717" s="784"/>
    </row>
    <row r="3718" spans="3:3" x14ac:dyDescent="0.25">
      <c r="C3718" s="784"/>
    </row>
    <row r="3719" spans="3:3" x14ac:dyDescent="0.25">
      <c r="C3719" s="784"/>
    </row>
    <row r="3720" spans="3:3" x14ac:dyDescent="0.25">
      <c r="C3720" s="784"/>
    </row>
    <row r="3721" spans="3:3" x14ac:dyDescent="0.25">
      <c r="C3721" s="784"/>
    </row>
    <row r="3722" spans="3:3" x14ac:dyDescent="0.25">
      <c r="C3722" s="784"/>
    </row>
    <row r="3723" spans="3:3" x14ac:dyDescent="0.25">
      <c r="C3723" s="784"/>
    </row>
    <row r="3724" spans="3:3" x14ac:dyDescent="0.25">
      <c r="C3724" s="784"/>
    </row>
    <row r="3725" spans="3:3" x14ac:dyDescent="0.25">
      <c r="C3725" s="784"/>
    </row>
    <row r="3726" spans="3:3" x14ac:dyDescent="0.25">
      <c r="C3726" s="784"/>
    </row>
    <row r="3727" spans="3:3" x14ac:dyDescent="0.25">
      <c r="C3727" s="784"/>
    </row>
    <row r="3728" spans="3:3" x14ac:dyDescent="0.25">
      <c r="C3728" s="784"/>
    </row>
    <row r="3729" spans="3:3" x14ac:dyDescent="0.25">
      <c r="C3729" s="784"/>
    </row>
    <row r="3730" spans="3:3" x14ac:dyDescent="0.25">
      <c r="C3730" s="784"/>
    </row>
    <row r="3731" spans="3:3" x14ac:dyDescent="0.25">
      <c r="C3731" s="784"/>
    </row>
    <row r="3732" spans="3:3" x14ac:dyDescent="0.25">
      <c r="C3732" s="784"/>
    </row>
    <row r="3733" spans="3:3" x14ac:dyDescent="0.25">
      <c r="C3733" s="784"/>
    </row>
    <row r="3734" spans="3:3" x14ac:dyDescent="0.25">
      <c r="C3734" s="784"/>
    </row>
    <row r="3735" spans="3:3" x14ac:dyDescent="0.25">
      <c r="C3735" s="784"/>
    </row>
    <row r="3736" spans="3:3" x14ac:dyDescent="0.25">
      <c r="C3736" s="784"/>
    </row>
    <row r="3737" spans="3:3" x14ac:dyDescent="0.25">
      <c r="C3737" s="784"/>
    </row>
    <row r="3738" spans="3:3" x14ac:dyDescent="0.25">
      <c r="C3738" s="784"/>
    </row>
    <row r="3739" spans="3:3" x14ac:dyDescent="0.25">
      <c r="C3739" s="784"/>
    </row>
    <row r="3740" spans="3:3" x14ac:dyDescent="0.25">
      <c r="C3740" s="784"/>
    </row>
    <row r="3741" spans="3:3" x14ac:dyDescent="0.25">
      <c r="C3741" s="784"/>
    </row>
    <row r="3742" spans="3:3" x14ac:dyDescent="0.25">
      <c r="C3742" s="784"/>
    </row>
    <row r="3743" spans="3:3" x14ac:dyDescent="0.25">
      <c r="C3743" s="784"/>
    </row>
    <row r="3744" spans="3:3" x14ac:dyDescent="0.25">
      <c r="C3744" s="784"/>
    </row>
    <row r="3745" spans="3:3" x14ac:dyDescent="0.25">
      <c r="C3745" s="784"/>
    </row>
    <row r="3746" spans="3:3" x14ac:dyDescent="0.25">
      <c r="C3746" s="784"/>
    </row>
    <row r="3747" spans="3:3" x14ac:dyDescent="0.25">
      <c r="C3747" s="784"/>
    </row>
    <row r="3748" spans="3:3" x14ac:dyDescent="0.25">
      <c r="C3748" s="784"/>
    </row>
    <row r="3749" spans="3:3" x14ac:dyDescent="0.25">
      <c r="C3749" s="784"/>
    </row>
    <row r="3750" spans="3:3" x14ac:dyDescent="0.25">
      <c r="C3750" s="784"/>
    </row>
    <row r="3751" spans="3:3" x14ac:dyDescent="0.25">
      <c r="C3751" s="784"/>
    </row>
    <row r="3752" spans="3:3" x14ac:dyDescent="0.25">
      <c r="C3752" s="784"/>
    </row>
    <row r="3753" spans="3:3" x14ac:dyDescent="0.25">
      <c r="C3753" s="784"/>
    </row>
    <row r="3754" spans="3:3" x14ac:dyDescent="0.25">
      <c r="C3754" s="784"/>
    </row>
    <row r="3755" spans="3:3" x14ac:dyDescent="0.25">
      <c r="C3755" s="784"/>
    </row>
    <row r="3756" spans="3:3" x14ac:dyDescent="0.25">
      <c r="C3756" s="784"/>
    </row>
    <row r="3757" spans="3:3" x14ac:dyDescent="0.25">
      <c r="C3757" s="784"/>
    </row>
    <row r="3758" spans="3:3" x14ac:dyDescent="0.25">
      <c r="C3758" s="784"/>
    </row>
    <row r="3759" spans="3:3" x14ac:dyDescent="0.25">
      <c r="C3759" s="784"/>
    </row>
    <row r="3760" spans="3:3" x14ac:dyDescent="0.25">
      <c r="C3760" s="784"/>
    </row>
    <row r="3761" spans="3:3" x14ac:dyDescent="0.25">
      <c r="C3761" s="784"/>
    </row>
    <row r="3762" spans="3:3" x14ac:dyDescent="0.25">
      <c r="C3762" s="784"/>
    </row>
    <row r="3763" spans="3:3" x14ac:dyDescent="0.25">
      <c r="C3763" s="784"/>
    </row>
    <row r="3764" spans="3:3" x14ac:dyDescent="0.25">
      <c r="C3764" s="784"/>
    </row>
    <row r="3765" spans="3:3" x14ac:dyDescent="0.25">
      <c r="C3765" s="784"/>
    </row>
    <row r="3766" spans="3:3" x14ac:dyDescent="0.25">
      <c r="C3766" s="784"/>
    </row>
    <row r="3767" spans="3:3" x14ac:dyDescent="0.25">
      <c r="C3767" s="784"/>
    </row>
    <row r="3768" spans="3:3" x14ac:dyDescent="0.25">
      <c r="C3768" s="784"/>
    </row>
    <row r="3769" spans="3:3" x14ac:dyDescent="0.25">
      <c r="C3769" s="784"/>
    </row>
    <row r="3770" spans="3:3" x14ac:dyDescent="0.25">
      <c r="C3770" s="784"/>
    </row>
    <row r="3771" spans="3:3" x14ac:dyDescent="0.25">
      <c r="C3771" s="784"/>
    </row>
    <row r="3772" spans="3:3" x14ac:dyDescent="0.25">
      <c r="C3772" s="784"/>
    </row>
    <row r="3773" spans="3:3" x14ac:dyDescent="0.25">
      <c r="C3773" s="784"/>
    </row>
    <row r="3774" spans="3:3" x14ac:dyDescent="0.25">
      <c r="C3774" s="784"/>
    </row>
    <row r="3775" spans="3:3" x14ac:dyDescent="0.25">
      <c r="C3775" s="784"/>
    </row>
    <row r="3776" spans="3:3" x14ac:dyDescent="0.25">
      <c r="C3776" s="784"/>
    </row>
    <row r="3777" spans="3:3" x14ac:dyDescent="0.25">
      <c r="C3777" s="784"/>
    </row>
    <row r="3778" spans="3:3" x14ac:dyDescent="0.25">
      <c r="C3778" s="784"/>
    </row>
    <row r="3779" spans="3:3" x14ac:dyDescent="0.25">
      <c r="C3779" s="784"/>
    </row>
    <row r="3780" spans="3:3" x14ac:dyDescent="0.25">
      <c r="C3780" s="784"/>
    </row>
    <row r="3781" spans="3:3" x14ac:dyDescent="0.25">
      <c r="C3781" s="784"/>
    </row>
    <row r="3782" spans="3:3" x14ac:dyDescent="0.25">
      <c r="C3782" s="784"/>
    </row>
    <row r="3783" spans="3:3" x14ac:dyDescent="0.25">
      <c r="C3783" s="784"/>
    </row>
    <row r="3784" spans="3:3" x14ac:dyDescent="0.25">
      <c r="C3784" s="784"/>
    </row>
    <row r="3785" spans="3:3" x14ac:dyDescent="0.25">
      <c r="C3785" s="784"/>
    </row>
    <row r="3786" spans="3:3" x14ac:dyDescent="0.25">
      <c r="C3786" s="784"/>
    </row>
    <row r="3787" spans="3:3" x14ac:dyDescent="0.25">
      <c r="C3787" s="784"/>
    </row>
    <row r="3788" spans="3:3" x14ac:dyDescent="0.25">
      <c r="C3788" s="784"/>
    </row>
    <row r="3789" spans="3:3" x14ac:dyDescent="0.25">
      <c r="C3789" s="784"/>
    </row>
    <row r="3790" spans="3:3" x14ac:dyDescent="0.25">
      <c r="C3790" s="784"/>
    </row>
    <row r="3791" spans="3:3" x14ac:dyDescent="0.25">
      <c r="C3791" s="784"/>
    </row>
    <row r="3792" spans="3:3" x14ac:dyDescent="0.25">
      <c r="C3792" s="784"/>
    </row>
    <row r="3793" spans="3:3" x14ac:dyDescent="0.25">
      <c r="C3793" s="784"/>
    </row>
    <row r="3794" spans="3:3" x14ac:dyDescent="0.25">
      <c r="C3794" s="784"/>
    </row>
    <row r="3795" spans="3:3" x14ac:dyDescent="0.25">
      <c r="C3795" s="784"/>
    </row>
    <row r="3796" spans="3:3" x14ac:dyDescent="0.25">
      <c r="C3796" s="784"/>
    </row>
    <row r="3797" spans="3:3" x14ac:dyDescent="0.25">
      <c r="C3797" s="784"/>
    </row>
    <row r="3798" spans="3:3" x14ac:dyDescent="0.25">
      <c r="C3798" s="784"/>
    </row>
    <row r="3799" spans="3:3" x14ac:dyDescent="0.25">
      <c r="C3799" s="784"/>
    </row>
    <row r="3800" spans="3:3" x14ac:dyDescent="0.25">
      <c r="C3800" s="784"/>
    </row>
    <row r="3801" spans="3:3" x14ac:dyDescent="0.25">
      <c r="C3801" s="784"/>
    </row>
    <row r="3802" spans="3:3" x14ac:dyDescent="0.25">
      <c r="C3802" s="784"/>
    </row>
    <row r="3803" spans="3:3" x14ac:dyDescent="0.25">
      <c r="C3803" s="784"/>
    </row>
    <row r="3804" spans="3:3" x14ac:dyDescent="0.25">
      <c r="C3804" s="784"/>
    </row>
    <row r="3805" spans="3:3" x14ac:dyDescent="0.25">
      <c r="C3805" s="784"/>
    </row>
    <row r="3806" spans="3:3" x14ac:dyDescent="0.25">
      <c r="C3806" s="784"/>
    </row>
    <row r="3807" spans="3:3" x14ac:dyDescent="0.25">
      <c r="C3807" s="784"/>
    </row>
    <row r="3808" spans="3:3" x14ac:dyDescent="0.25">
      <c r="C3808" s="784"/>
    </row>
    <row r="3809" spans="3:3" x14ac:dyDescent="0.25">
      <c r="C3809" s="784"/>
    </row>
    <row r="3810" spans="3:3" x14ac:dyDescent="0.25">
      <c r="C3810" s="784"/>
    </row>
    <row r="3811" spans="3:3" x14ac:dyDescent="0.25">
      <c r="C3811" s="784"/>
    </row>
    <row r="3812" spans="3:3" x14ac:dyDescent="0.25">
      <c r="C3812" s="784"/>
    </row>
    <row r="3813" spans="3:3" x14ac:dyDescent="0.25">
      <c r="C3813" s="784"/>
    </row>
    <row r="3814" spans="3:3" x14ac:dyDescent="0.25">
      <c r="C3814" s="784"/>
    </row>
    <row r="3815" spans="3:3" x14ac:dyDescent="0.25">
      <c r="C3815" s="784"/>
    </row>
    <row r="3816" spans="3:3" x14ac:dyDescent="0.25">
      <c r="C3816" s="784"/>
    </row>
    <row r="3817" spans="3:3" x14ac:dyDescent="0.25">
      <c r="C3817" s="784"/>
    </row>
    <row r="3818" spans="3:3" x14ac:dyDescent="0.25">
      <c r="C3818" s="784"/>
    </row>
    <row r="3819" spans="3:3" x14ac:dyDescent="0.25">
      <c r="C3819" s="784"/>
    </row>
    <row r="3820" spans="3:3" x14ac:dyDescent="0.25">
      <c r="C3820" s="784"/>
    </row>
    <row r="3821" spans="3:3" x14ac:dyDescent="0.25">
      <c r="C3821" s="784"/>
    </row>
    <row r="3822" spans="3:3" x14ac:dyDescent="0.25">
      <c r="C3822" s="784"/>
    </row>
    <row r="3823" spans="3:3" x14ac:dyDescent="0.25">
      <c r="C3823" s="784"/>
    </row>
    <row r="3824" spans="3:3" x14ac:dyDescent="0.25">
      <c r="C3824" s="784"/>
    </row>
    <row r="3825" spans="3:3" x14ac:dyDescent="0.25">
      <c r="C3825" s="784"/>
    </row>
    <row r="3826" spans="3:3" x14ac:dyDescent="0.25">
      <c r="C3826" s="784"/>
    </row>
    <row r="3827" spans="3:3" x14ac:dyDescent="0.25">
      <c r="C3827" s="784"/>
    </row>
    <row r="3828" spans="3:3" x14ac:dyDescent="0.25">
      <c r="C3828" s="784"/>
    </row>
    <row r="3829" spans="3:3" x14ac:dyDescent="0.25">
      <c r="C3829" s="784"/>
    </row>
    <row r="3830" spans="3:3" x14ac:dyDescent="0.25">
      <c r="C3830" s="784"/>
    </row>
    <row r="3831" spans="3:3" x14ac:dyDescent="0.25">
      <c r="C3831" s="784"/>
    </row>
    <row r="3832" spans="3:3" x14ac:dyDescent="0.25">
      <c r="C3832" s="784"/>
    </row>
    <row r="3833" spans="3:3" x14ac:dyDescent="0.25">
      <c r="C3833" s="784"/>
    </row>
    <row r="3834" spans="3:3" x14ac:dyDescent="0.25">
      <c r="C3834" s="784"/>
    </row>
    <row r="3835" spans="3:3" x14ac:dyDescent="0.25">
      <c r="C3835" s="784"/>
    </row>
    <row r="3836" spans="3:3" x14ac:dyDescent="0.25">
      <c r="C3836" s="784"/>
    </row>
    <row r="3837" spans="3:3" x14ac:dyDescent="0.25">
      <c r="C3837" s="784"/>
    </row>
    <row r="3838" spans="3:3" x14ac:dyDescent="0.25">
      <c r="C3838" s="784"/>
    </row>
    <row r="3839" spans="3:3" x14ac:dyDescent="0.25">
      <c r="C3839" s="784"/>
    </row>
    <row r="3840" spans="3:3" x14ac:dyDescent="0.25">
      <c r="C3840" s="784"/>
    </row>
    <row r="3841" spans="3:3" x14ac:dyDescent="0.25">
      <c r="C3841" s="784"/>
    </row>
    <row r="3842" spans="3:3" x14ac:dyDescent="0.25">
      <c r="C3842" s="784"/>
    </row>
    <row r="3843" spans="3:3" x14ac:dyDescent="0.25">
      <c r="C3843" s="784"/>
    </row>
    <row r="3844" spans="3:3" x14ac:dyDescent="0.25">
      <c r="C3844" s="784"/>
    </row>
    <row r="3845" spans="3:3" x14ac:dyDescent="0.25">
      <c r="C3845" s="784"/>
    </row>
    <row r="3846" spans="3:3" x14ac:dyDescent="0.25">
      <c r="C3846" s="784"/>
    </row>
    <row r="3847" spans="3:3" x14ac:dyDescent="0.25">
      <c r="C3847" s="784"/>
    </row>
    <row r="3848" spans="3:3" x14ac:dyDescent="0.25">
      <c r="C3848" s="784"/>
    </row>
    <row r="3849" spans="3:3" x14ac:dyDescent="0.25">
      <c r="C3849" s="784"/>
    </row>
    <row r="3850" spans="3:3" x14ac:dyDescent="0.25">
      <c r="C3850" s="784"/>
    </row>
    <row r="3851" spans="3:3" x14ac:dyDescent="0.25">
      <c r="C3851" s="784"/>
    </row>
    <row r="3852" spans="3:3" x14ac:dyDescent="0.25">
      <c r="C3852" s="784"/>
    </row>
    <row r="3853" spans="3:3" x14ac:dyDescent="0.25">
      <c r="C3853" s="784"/>
    </row>
    <row r="3854" spans="3:3" x14ac:dyDescent="0.25">
      <c r="C3854" s="784"/>
    </row>
    <row r="3855" spans="3:3" x14ac:dyDescent="0.25">
      <c r="C3855" s="784"/>
    </row>
    <row r="3856" spans="3:3" x14ac:dyDescent="0.25">
      <c r="C3856" s="784"/>
    </row>
    <row r="3857" spans="3:3" x14ac:dyDescent="0.25">
      <c r="C3857" s="784"/>
    </row>
    <row r="3858" spans="3:3" x14ac:dyDescent="0.25">
      <c r="C3858" s="784"/>
    </row>
    <row r="3859" spans="3:3" x14ac:dyDescent="0.25">
      <c r="C3859" s="784"/>
    </row>
    <row r="3860" spans="3:3" x14ac:dyDescent="0.25">
      <c r="C3860" s="784"/>
    </row>
    <row r="3861" spans="3:3" x14ac:dyDescent="0.25">
      <c r="C3861" s="784"/>
    </row>
    <row r="3862" spans="3:3" x14ac:dyDescent="0.25">
      <c r="C3862" s="784"/>
    </row>
    <row r="3863" spans="3:3" x14ac:dyDescent="0.25">
      <c r="C3863" s="784"/>
    </row>
    <row r="3864" spans="3:3" x14ac:dyDescent="0.25">
      <c r="C3864" s="784"/>
    </row>
    <row r="3865" spans="3:3" x14ac:dyDescent="0.25">
      <c r="C3865" s="784"/>
    </row>
    <row r="3866" spans="3:3" x14ac:dyDescent="0.25">
      <c r="C3866" s="784"/>
    </row>
    <row r="3867" spans="3:3" x14ac:dyDescent="0.25">
      <c r="C3867" s="784"/>
    </row>
    <row r="3868" spans="3:3" x14ac:dyDescent="0.25">
      <c r="C3868" s="784"/>
    </row>
    <row r="3869" spans="3:3" x14ac:dyDescent="0.25">
      <c r="C3869" s="784"/>
    </row>
    <row r="3870" spans="3:3" x14ac:dyDescent="0.25">
      <c r="C3870" s="784"/>
    </row>
    <row r="3871" spans="3:3" x14ac:dyDescent="0.25">
      <c r="C3871" s="784"/>
    </row>
    <row r="3872" spans="3:3" x14ac:dyDescent="0.25">
      <c r="C3872" s="784"/>
    </row>
    <row r="3873" spans="3:3" x14ac:dyDescent="0.25">
      <c r="C3873" s="784"/>
    </row>
    <row r="3874" spans="3:3" x14ac:dyDescent="0.25">
      <c r="C3874" s="784"/>
    </row>
    <row r="3875" spans="3:3" x14ac:dyDescent="0.25">
      <c r="C3875" s="784"/>
    </row>
    <row r="3876" spans="3:3" x14ac:dyDescent="0.25">
      <c r="C3876" s="784"/>
    </row>
    <row r="3877" spans="3:3" x14ac:dyDescent="0.25">
      <c r="C3877" s="784"/>
    </row>
    <row r="3878" spans="3:3" x14ac:dyDescent="0.25">
      <c r="C3878" s="784"/>
    </row>
    <row r="3879" spans="3:3" x14ac:dyDescent="0.25">
      <c r="C3879" s="784"/>
    </row>
    <row r="3880" spans="3:3" x14ac:dyDescent="0.25">
      <c r="C3880" s="784"/>
    </row>
    <row r="3881" spans="3:3" x14ac:dyDescent="0.25">
      <c r="C3881" s="784"/>
    </row>
    <row r="3882" spans="3:3" x14ac:dyDescent="0.25">
      <c r="C3882" s="784"/>
    </row>
    <row r="3883" spans="3:3" x14ac:dyDescent="0.25">
      <c r="C3883" s="784"/>
    </row>
    <row r="3884" spans="3:3" x14ac:dyDescent="0.25">
      <c r="C3884" s="784"/>
    </row>
    <row r="3885" spans="3:3" x14ac:dyDescent="0.25">
      <c r="C3885" s="784"/>
    </row>
    <row r="3886" spans="3:3" x14ac:dyDescent="0.25">
      <c r="C3886" s="784"/>
    </row>
    <row r="3887" spans="3:3" x14ac:dyDescent="0.25">
      <c r="C3887" s="784"/>
    </row>
    <row r="3888" spans="3:3" x14ac:dyDescent="0.25">
      <c r="C3888" s="784"/>
    </row>
    <row r="3889" spans="3:3" x14ac:dyDescent="0.25">
      <c r="C3889" s="784"/>
    </row>
    <row r="3890" spans="3:3" x14ac:dyDescent="0.25">
      <c r="C3890" s="784"/>
    </row>
    <row r="3891" spans="3:3" x14ac:dyDescent="0.25">
      <c r="C3891" s="784"/>
    </row>
    <row r="3892" spans="3:3" x14ac:dyDescent="0.25">
      <c r="C3892" s="784"/>
    </row>
    <row r="3893" spans="3:3" x14ac:dyDescent="0.25">
      <c r="C3893" s="784"/>
    </row>
    <row r="3894" spans="3:3" x14ac:dyDescent="0.25">
      <c r="C3894" s="784"/>
    </row>
    <row r="3895" spans="3:3" x14ac:dyDescent="0.25">
      <c r="C3895" s="784"/>
    </row>
    <row r="3896" spans="3:3" x14ac:dyDescent="0.25">
      <c r="C3896" s="784"/>
    </row>
    <row r="3897" spans="3:3" x14ac:dyDescent="0.25">
      <c r="C3897" s="784"/>
    </row>
    <row r="3898" spans="3:3" x14ac:dyDescent="0.25">
      <c r="C3898" s="784"/>
    </row>
    <row r="3899" spans="3:3" x14ac:dyDescent="0.25">
      <c r="C3899" s="784"/>
    </row>
    <row r="3900" spans="3:3" x14ac:dyDescent="0.25">
      <c r="C3900" s="784"/>
    </row>
    <row r="3901" spans="3:3" x14ac:dyDescent="0.25">
      <c r="C3901" s="784"/>
    </row>
    <row r="3902" spans="3:3" x14ac:dyDescent="0.25">
      <c r="C3902" s="784"/>
    </row>
    <row r="3903" spans="3:3" x14ac:dyDescent="0.25">
      <c r="C3903" s="784"/>
    </row>
    <row r="3904" spans="3:3" x14ac:dyDescent="0.25">
      <c r="C3904" s="784"/>
    </row>
    <row r="3905" spans="3:3" x14ac:dyDescent="0.25">
      <c r="C3905" s="784"/>
    </row>
    <row r="3906" spans="3:3" x14ac:dyDescent="0.25">
      <c r="C3906" s="784"/>
    </row>
    <row r="3907" spans="3:3" x14ac:dyDescent="0.25">
      <c r="C3907" s="784"/>
    </row>
    <row r="3908" spans="3:3" x14ac:dyDescent="0.25">
      <c r="C3908" s="784"/>
    </row>
    <row r="3909" spans="3:3" x14ac:dyDescent="0.25">
      <c r="C3909" s="784"/>
    </row>
    <row r="3910" spans="3:3" x14ac:dyDescent="0.25">
      <c r="C3910" s="784"/>
    </row>
    <row r="3911" spans="3:3" x14ac:dyDescent="0.25">
      <c r="C3911" s="784"/>
    </row>
    <row r="3912" spans="3:3" x14ac:dyDescent="0.25">
      <c r="C3912" s="784"/>
    </row>
    <row r="3913" spans="3:3" x14ac:dyDescent="0.25">
      <c r="C3913" s="784"/>
    </row>
    <row r="3914" spans="3:3" x14ac:dyDescent="0.25">
      <c r="C3914" s="784"/>
    </row>
    <row r="3915" spans="3:3" x14ac:dyDescent="0.25">
      <c r="C3915" s="784"/>
    </row>
    <row r="3916" spans="3:3" x14ac:dyDescent="0.25">
      <c r="C3916" s="784"/>
    </row>
    <row r="3917" spans="3:3" x14ac:dyDescent="0.25">
      <c r="C3917" s="784"/>
    </row>
    <row r="3918" spans="3:3" x14ac:dyDescent="0.25">
      <c r="C3918" s="784"/>
    </row>
    <row r="3919" spans="3:3" x14ac:dyDescent="0.25">
      <c r="C3919" s="784"/>
    </row>
    <row r="3920" spans="3:3" x14ac:dyDescent="0.25">
      <c r="C3920" s="784"/>
    </row>
    <row r="3921" spans="3:3" x14ac:dyDescent="0.25">
      <c r="C3921" s="784"/>
    </row>
    <row r="3922" spans="3:3" x14ac:dyDescent="0.25">
      <c r="C3922" s="784"/>
    </row>
    <row r="3923" spans="3:3" x14ac:dyDescent="0.25">
      <c r="C3923" s="784"/>
    </row>
    <row r="3924" spans="3:3" x14ac:dyDescent="0.25">
      <c r="C3924" s="784"/>
    </row>
    <row r="3925" spans="3:3" x14ac:dyDescent="0.25">
      <c r="C3925" s="784"/>
    </row>
    <row r="3926" spans="3:3" x14ac:dyDescent="0.25">
      <c r="C3926" s="784"/>
    </row>
    <row r="3927" spans="3:3" x14ac:dyDescent="0.25">
      <c r="C3927" s="784"/>
    </row>
    <row r="3928" spans="3:3" x14ac:dyDescent="0.25">
      <c r="C3928" s="784"/>
    </row>
    <row r="3929" spans="3:3" x14ac:dyDescent="0.25">
      <c r="C3929" s="784"/>
    </row>
    <row r="3930" spans="3:3" x14ac:dyDescent="0.25">
      <c r="C3930" s="784"/>
    </row>
    <row r="3931" spans="3:3" x14ac:dyDescent="0.25">
      <c r="C3931" s="784"/>
    </row>
    <row r="3932" spans="3:3" x14ac:dyDescent="0.25">
      <c r="C3932" s="784"/>
    </row>
    <row r="3933" spans="3:3" x14ac:dyDescent="0.25">
      <c r="C3933" s="784"/>
    </row>
    <row r="3934" spans="3:3" x14ac:dyDescent="0.25">
      <c r="C3934" s="784"/>
    </row>
    <row r="3935" spans="3:3" x14ac:dyDescent="0.25">
      <c r="C3935" s="784"/>
    </row>
    <row r="3936" spans="3:3" x14ac:dyDescent="0.25">
      <c r="C3936" s="784"/>
    </row>
    <row r="3937" spans="3:3" x14ac:dyDescent="0.25">
      <c r="C3937" s="784"/>
    </row>
    <row r="3938" spans="3:3" x14ac:dyDescent="0.25">
      <c r="C3938" s="784"/>
    </row>
    <row r="3939" spans="3:3" x14ac:dyDescent="0.25">
      <c r="C3939" s="784"/>
    </row>
    <row r="3940" spans="3:3" x14ac:dyDescent="0.25">
      <c r="C3940" s="784"/>
    </row>
    <row r="3941" spans="3:3" x14ac:dyDescent="0.25">
      <c r="C3941" s="784"/>
    </row>
    <row r="3942" spans="3:3" x14ac:dyDescent="0.25">
      <c r="C3942" s="784"/>
    </row>
    <row r="3943" spans="3:3" x14ac:dyDescent="0.25">
      <c r="C3943" s="784"/>
    </row>
    <row r="3944" spans="3:3" x14ac:dyDescent="0.25">
      <c r="C3944" s="784"/>
    </row>
    <row r="3945" spans="3:3" x14ac:dyDescent="0.25">
      <c r="C3945" s="784"/>
    </row>
    <row r="3946" spans="3:3" x14ac:dyDescent="0.25">
      <c r="C3946" s="784"/>
    </row>
    <row r="3947" spans="3:3" x14ac:dyDescent="0.25">
      <c r="C3947" s="784"/>
    </row>
    <row r="3948" spans="3:3" x14ac:dyDescent="0.25">
      <c r="C3948" s="784"/>
    </row>
    <row r="3949" spans="3:3" x14ac:dyDescent="0.25">
      <c r="C3949" s="784"/>
    </row>
    <row r="3950" spans="3:3" x14ac:dyDescent="0.25">
      <c r="C3950" s="784"/>
    </row>
    <row r="3951" spans="3:3" x14ac:dyDescent="0.25">
      <c r="C3951" s="784"/>
    </row>
    <row r="3952" spans="3:3" x14ac:dyDescent="0.25">
      <c r="C3952" s="784"/>
    </row>
    <row r="3953" spans="3:3" x14ac:dyDescent="0.25">
      <c r="C3953" s="784"/>
    </row>
    <row r="3954" spans="3:3" x14ac:dyDescent="0.25">
      <c r="C3954" s="784"/>
    </row>
    <row r="3955" spans="3:3" x14ac:dyDescent="0.25">
      <c r="C3955" s="784"/>
    </row>
    <row r="3956" spans="3:3" x14ac:dyDescent="0.25">
      <c r="C3956" s="784"/>
    </row>
    <row r="3957" spans="3:3" x14ac:dyDescent="0.25">
      <c r="C3957" s="784"/>
    </row>
    <row r="3958" spans="3:3" x14ac:dyDescent="0.25">
      <c r="C3958" s="784"/>
    </row>
    <row r="3959" spans="3:3" x14ac:dyDescent="0.25">
      <c r="C3959" s="784"/>
    </row>
    <row r="3960" spans="3:3" x14ac:dyDescent="0.25">
      <c r="C3960" s="784"/>
    </row>
    <row r="3961" spans="3:3" x14ac:dyDescent="0.25">
      <c r="C3961" s="784"/>
    </row>
    <row r="3962" spans="3:3" x14ac:dyDescent="0.25">
      <c r="C3962" s="784"/>
    </row>
    <row r="3963" spans="3:3" x14ac:dyDescent="0.25">
      <c r="C3963" s="784"/>
    </row>
    <row r="3964" spans="3:3" x14ac:dyDescent="0.25">
      <c r="C3964" s="784"/>
    </row>
    <row r="3965" spans="3:3" x14ac:dyDescent="0.25">
      <c r="C3965" s="784"/>
    </row>
    <row r="3966" spans="3:3" x14ac:dyDescent="0.25">
      <c r="C3966" s="784"/>
    </row>
    <row r="3967" spans="3:3" x14ac:dyDescent="0.25">
      <c r="C3967" s="784"/>
    </row>
    <row r="3968" spans="3:3" x14ac:dyDescent="0.25">
      <c r="C3968" s="784"/>
    </row>
    <row r="3969" spans="3:3" x14ac:dyDescent="0.25">
      <c r="C3969" s="784"/>
    </row>
    <row r="3970" spans="3:3" x14ac:dyDescent="0.25">
      <c r="C3970" s="784"/>
    </row>
    <row r="3971" spans="3:3" x14ac:dyDescent="0.25">
      <c r="C3971" s="784"/>
    </row>
    <row r="3972" spans="3:3" x14ac:dyDescent="0.25">
      <c r="C3972" s="784"/>
    </row>
    <row r="3973" spans="3:3" x14ac:dyDescent="0.25">
      <c r="C3973" s="784"/>
    </row>
    <row r="3974" spans="3:3" x14ac:dyDescent="0.25">
      <c r="C3974" s="784"/>
    </row>
    <row r="3975" spans="3:3" x14ac:dyDescent="0.25">
      <c r="C3975" s="784"/>
    </row>
    <row r="3976" spans="3:3" x14ac:dyDescent="0.25">
      <c r="C3976" s="784"/>
    </row>
    <row r="3977" spans="3:3" x14ac:dyDescent="0.25">
      <c r="C3977" s="784"/>
    </row>
    <row r="3978" spans="3:3" x14ac:dyDescent="0.25">
      <c r="C3978" s="784"/>
    </row>
    <row r="3979" spans="3:3" x14ac:dyDescent="0.25">
      <c r="C3979" s="784"/>
    </row>
    <row r="3980" spans="3:3" x14ac:dyDescent="0.25">
      <c r="C3980" s="784"/>
    </row>
    <row r="3981" spans="3:3" x14ac:dyDescent="0.25">
      <c r="C3981" s="784"/>
    </row>
    <row r="3982" spans="3:3" x14ac:dyDescent="0.25">
      <c r="C3982" s="784"/>
    </row>
    <row r="3983" spans="3:3" x14ac:dyDescent="0.25">
      <c r="C3983" s="784"/>
    </row>
    <row r="3984" spans="3:3" x14ac:dyDescent="0.25">
      <c r="C3984" s="784"/>
    </row>
    <row r="3985" spans="3:3" x14ac:dyDescent="0.25">
      <c r="C3985" s="784"/>
    </row>
    <row r="3986" spans="3:3" x14ac:dyDescent="0.25">
      <c r="C3986" s="784"/>
    </row>
    <row r="3987" spans="3:3" x14ac:dyDescent="0.25">
      <c r="C3987" s="784"/>
    </row>
    <row r="3988" spans="3:3" x14ac:dyDescent="0.25">
      <c r="C3988" s="784"/>
    </row>
    <row r="3989" spans="3:3" x14ac:dyDescent="0.25">
      <c r="C3989" s="784"/>
    </row>
    <row r="3990" spans="3:3" x14ac:dyDescent="0.25">
      <c r="C3990" s="784"/>
    </row>
    <row r="3991" spans="3:3" x14ac:dyDescent="0.25">
      <c r="C3991" s="784"/>
    </row>
    <row r="3992" spans="3:3" x14ac:dyDescent="0.25">
      <c r="C3992" s="784"/>
    </row>
    <row r="3993" spans="3:3" x14ac:dyDescent="0.25">
      <c r="C3993" s="784"/>
    </row>
    <row r="3994" spans="3:3" x14ac:dyDescent="0.25">
      <c r="C3994" s="784"/>
    </row>
    <row r="3995" spans="3:3" x14ac:dyDescent="0.25">
      <c r="C3995" s="784"/>
    </row>
    <row r="3996" spans="3:3" x14ac:dyDescent="0.25">
      <c r="C3996" s="784"/>
    </row>
    <row r="3997" spans="3:3" x14ac:dyDescent="0.25">
      <c r="C3997" s="784"/>
    </row>
    <row r="3998" spans="3:3" x14ac:dyDescent="0.25">
      <c r="C3998" s="784"/>
    </row>
    <row r="3999" spans="3:3" x14ac:dyDescent="0.25">
      <c r="C3999" s="784"/>
    </row>
    <row r="4000" spans="3:3" x14ac:dyDescent="0.25">
      <c r="C4000" s="784"/>
    </row>
    <row r="4001" spans="3:3" x14ac:dyDescent="0.25">
      <c r="C4001" s="784"/>
    </row>
    <row r="4002" spans="3:3" x14ac:dyDescent="0.25">
      <c r="C4002" s="784"/>
    </row>
    <row r="4003" spans="3:3" x14ac:dyDescent="0.25">
      <c r="C4003" s="784"/>
    </row>
    <row r="4004" spans="3:3" x14ac:dyDescent="0.25">
      <c r="C4004" s="784"/>
    </row>
    <row r="4005" spans="3:3" x14ac:dyDescent="0.25">
      <c r="C4005" s="784"/>
    </row>
    <row r="4006" spans="3:3" x14ac:dyDescent="0.25">
      <c r="C4006" s="784"/>
    </row>
    <row r="4007" spans="3:3" x14ac:dyDescent="0.25">
      <c r="C4007" s="784"/>
    </row>
    <row r="4008" spans="3:3" x14ac:dyDescent="0.25">
      <c r="C4008" s="784"/>
    </row>
    <row r="4009" spans="3:3" x14ac:dyDescent="0.25">
      <c r="C4009" s="784"/>
    </row>
    <row r="4010" spans="3:3" x14ac:dyDescent="0.25">
      <c r="C4010" s="784"/>
    </row>
    <row r="4011" spans="3:3" x14ac:dyDescent="0.25">
      <c r="C4011" s="784"/>
    </row>
    <row r="4012" spans="3:3" x14ac:dyDescent="0.25">
      <c r="C4012" s="784"/>
    </row>
    <row r="4013" spans="3:3" x14ac:dyDescent="0.25">
      <c r="C4013" s="784"/>
    </row>
    <row r="4014" spans="3:3" x14ac:dyDescent="0.25">
      <c r="C4014" s="784"/>
    </row>
    <row r="4015" spans="3:3" x14ac:dyDescent="0.25">
      <c r="C4015" s="784"/>
    </row>
    <row r="4016" spans="3:3" x14ac:dyDescent="0.25">
      <c r="C4016" s="784"/>
    </row>
    <row r="4017" spans="3:3" x14ac:dyDescent="0.25">
      <c r="C4017" s="784"/>
    </row>
    <row r="4018" spans="3:3" x14ac:dyDescent="0.25">
      <c r="C4018" s="784"/>
    </row>
    <row r="4019" spans="3:3" x14ac:dyDescent="0.25">
      <c r="C4019" s="784"/>
    </row>
    <row r="4020" spans="3:3" x14ac:dyDescent="0.25">
      <c r="C4020" s="784"/>
    </row>
    <row r="4021" spans="3:3" x14ac:dyDescent="0.25">
      <c r="C4021" s="784"/>
    </row>
    <row r="4022" spans="3:3" x14ac:dyDescent="0.25">
      <c r="C4022" s="784"/>
    </row>
    <row r="4023" spans="3:3" x14ac:dyDescent="0.25">
      <c r="C4023" s="784"/>
    </row>
    <row r="4024" spans="3:3" x14ac:dyDescent="0.25">
      <c r="C4024" s="784"/>
    </row>
    <row r="4025" spans="3:3" x14ac:dyDescent="0.25">
      <c r="C4025" s="784"/>
    </row>
    <row r="4026" spans="3:3" x14ac:dyDescent="0.25">
      <c r="C4026" s="784"/>
    </row>
    <row r="4027" spans="3:3" x14ac:dyDescent="0.25">
      <c r="C4027" s="784"/>
    </row>
    <row r="4028" spans="3:3" x14ac:dyDescent="0.25">
      <c r="C4028" s="784"/>
    </row>
    <row r="4029" spans="3:3" x14ac:dyDescent="0.25">
      <c r="C4029" s="784"/>
    </row>
    <row r="4030" spans="3:3" x14ac:dyDescent="0.25">
      <c r="C4030" s="784"/>
    </row>
    <row r="4031" spans="3:3" x14ac:dyDescent="0.25">
      <c r="C4031" s="784"/>
    </row>
    <row r="4032" spans="3:3" x14ac:dyDescent="0.25">
      <c r="C4032" s="784"/>
    </row>
    <row r="4033" spans="3:3" x14ac:dyDescent="0.25">
      <c r="C4033" s="784"/>
    </row>
    <row r="4034" spans="3:3" x14ac:dyDescent="0.25">
      <c r="C4034" s="784"/>
    </row>
    <row r="4035" spans="3:3" x14ac:dyDescent="0.25">
      <c r="C4035" s="784"/>
    </row>
    <row r="4036" spans="3:3" x14ac:dyDescent="0.25">
      <c r="C4036" s="784"/>
    </row>
    <row r="4037" spans="3:3" x14ac:dyDescent="0.25">
      <c r="C4037" s="784"/>
    </row>
    <row r="4038" spans="3:3" x14ac:dyDescent="0.25">
      <c r="C4038" s="784"/>
    </row>
    <row r="4039" spans="3:3" x14ac:dyDescent="0.25">
      <c r="C4039" s="784"/>
    </row>
    <row r="4040" spans="3:3" x14ac:dyDescent="0.25">
      <c r="C4040" s="784"/>
    </row>
    <row r="4041" spans="3:3" x14ac:dyDescent="0.25">
      <c r="C4041" s="784"/>
    </row>
    <row r="4042" spans="3:3" x14ac:dyDescent="0.25">
      <c r="C4042" s="784"/>
    </row>
    <row r="4043" spans="3:3" x14ac:dyDescent="0.25">
      <c r="C4043" s="784"/>
    </row>
    <row r="4044" spans="3:3" x14ac:dyDescent="0.25">
      <c r="C4044" s="784"/>
    </row>
    <row r="4045" spans="3:3" x14ac:dyDescent="0.25">
      <c r="C4045" s="784"/>
    </row>
    <row r="4046" spans="3:3" x14ac:dyDescent="0.25">
      <c r="C4046" s="784"/>
    </row>
    <row r="4047" spans="3:3" x14ac:dyDescent="0.25">
      <c r="C4047" s="784"/>
    </row>
    <row r="4048" spans="3:3" x14ac:dyDescent="0.25">
      <c r="C4048" s="784"/>
    </row>
    <row r="4049" spans="3:3" x14ac:dyDescent="0.25">
      <c r="C4049" s="784"/>
    </row>
    <row r="4050" spans="3:3" x14ac:dyDescent="0.25">
      <c r="C4050" s="784"/>
    </row>
    <row r="4051" spans="3:3" x14ac:dyDescent="0.25">
      <c r="C4051" s="784"/>
    </row>
    <row r="4052" spans="3:3" x14ac:dyDescent="0.25">
      <c r="C4052" s="784"/>
    </row>
    <row r="4053" spans="3:3" x14ac:dyDescent="0.25">
      <c r="C4053" s="784"/>
    </row>
    <row r="4054" spans="3:3" x14ac:dyDescent="0.25">
      <c r="C4054" s="784"/>
    </row>
    <row r="4055" spans="3:3" x14ac:dyDescent="0.25">
      <c r="C4055" s="784"/>
    </row>
    <row r="4056" spans="3:3" x14ac:dyDescent="0.25">
      <c r="C4056" s="784"/>
    </row>
    <row r="4057" spans="3:3" x14ac:dyDescent="0.25">
      <c r="C4057" s="784"/>
    </row>
    <row r="4058" spans="3:3" x14ac:dyDescent="0.25">
      <c r="C4058" s="784"/>
    </row>
    <row r="4059" spans="3:3" x14ac:dyDescent="0.25">
      <c r="C4059" s="784"/>
    </row>
    <row r="4060" spans="3:3" x14ac:dyDescent="0.25">
      <c r="C4060" s="784"/>
    </row>
    <row r="4061" spans="3:3" x14ac:dyDescent="0.25">
      <c r="C4061" s="784"/>
    </row>
    <row r="4062" spans="3:3" x14ac:dyDescent="0.25">
      <c r="C4062" s="784"/>
    </row>
    <row r="4063" spans="3:3" x14ac:dyDescent="0.25">
      <c r="C4063" s="784"/>
    </row>
    <row r="4064" spans="3:3" x14ac:dyDescent="0.25">
      <c r="C4064" s="784"/>
    </row>
    <row r="4065" spans="3:3" x14ac:dyDescent="0.25">
      <c r="C4065" s="784"/>
    </row>
    <row r="4066" spans="3:3" x14ac:dyDescent="0.25">
      <c r="C4066" s="784"/>
    </row>
    <row r="4067" spans="3:3" x14ac:dyDescent="0.25">
      <c r="C4067" s="784"/>
    </row>
    <row r="4068" spans="3:3" x14ac:dyDescent="0.25">
      <c r="C4068" s="784"/>
    </row>
    <row r="4069" spans="3:3" x14ac:dyDescent="0.25">
      <c r="C4069" s="784"/>
    </row>
    <row r="4070" spans="3:3" x14ac:dyDescent="0.25">
      <c r="C4070" s="784"/>
    </row>
    <row r="4071" spans="3:3" x14ac:dyDescent="0.25">
      <c r="C4071" s="784"/>
    </row>
    <row r="4072" spans="3:3" x14ac:dyDescent="0.25">
      <c r="C4072" s="784"/>
    </row>
    <row r="4073" spans="3:3" x14ac:dyDescent="0.25">
      <c r="C4073" s="784"/>
    </row>
    <row r="4074" spans="3:3" x14ac:dyDescent="0.25">
      <c r="C4074" s="784"/>
    </row>
    <row r="4075" spans="3:3" x14ac:dyDescent="0.25">
      <c r="C4075" s="784"/>
    </row>
    <row r="4076" spans="3:3" x14ac:dyDescent="0.25">
      <c r="C4076" s="784"/>
    </row>
    <row r="4077" spans="3:3" x14ac:dyDescent="0.25">
      <c r="C4077" s="784"/>
    </row>
    <row r="4078" spans="3:3" x14ac:dyDescent="0.25">
      <c r="C4078" s="784"/>
    </row>
    <row r="4079" spans="3:3" x14ac:dyDescent="0.25">
      <c r="C4079" s="784"/>
    </row>
    <row r="4080" spans="3:3" x14ac:dyDescent="0.25">
      <c r="C4080" s="784"/>
    </row>
    <row r="4081" spans="3:3" x14ac:dyDescent="0.25">
      <c r="C4081" s="784"/>
    </row>
    <row r="4082" spans="3:3" x14ac:dyDescent="0.25">
      <c r="C4082" s="784"/>
    </row>
    <row r="4083" spans="3:3" x14ac:dyDescent="0.25">
      <c r="C4083" s="784"/>
    </row>
    <row r="4084" spans="3:3" x14ac:dyDescent="0.25">
      <c r="C4084" s="784"/>
    </row>
    <row r="4085" spans="3:3" x14ac:dyDescent="0.25">
      <c r="C4085" s="784"/>
    </row>
    <row r="4086" spans="3:3" x14ac:dyDescent="0.25">
      <c r="C4086" s="784"/>
    </row>
    <row r="4087" spans="3:3" x14ac:dyDescent="0.25">
      <c r="C4087" s="784"/>
    </row>
    <row r="4088" spans="3:3" x14ac:dyDescent="0.25">
      <c r="C4088" s="784"/>
    </row>
    <row r="4089" spans="3:3" x14ac:dyDescent="0.25">
      <c r="C4089" s="784"/>
    </row>
    <row r="4090" spans="3:3" x14ac:dyDescent="0.25">
      <c r="C4090" s="784"/>
    </row>
    <row r="4091" spans="3:3" x14ac:dyDescent="0.25">
      <c r="C4091" s="784"/>
    </row>
    <row r="4092" spans="3:3" x14ac:dyDescent="0.25">
      <c r="C4092" s="784"/>
    </row>
    <row r="4093" spans="3:3" x14ac:dyDescent="0.25">
      <c r="C4093" s="784"/>
    </row>
    <row r="4094" spans="3:3" x14ac:dyDescent="0.25">
      <c r="C4094" s="784"/>
    </row>
    <row r="4095" spans="3:3" x14ac:dyDescent="0.25">
      <c r="C4095" s="784"/>
    </row>
    <row r="4096" spans="3:3" x14ac:dyDescent="0.25">
      <c r="C4096" s="784"/>
    </row>
    <row r="4097" spans="3:3" x14ac:dyDescent="0.25">
      <c r="C4097" s="784"/>
    </row>
    <row r="4098" spans="3:3" x14ac:dyDescent="0.25">
      <c r="C4098" s="784"/>
    </row>
    <row r="4099" spans="3:3" x14ac:dyDescent="0.25">
      <c r="C4099" s="784"/>
    </row>
    <row r="4100" spans="3:3" x14ac:dyDescent="0.25">
      <c r="C4100" s="784"/>
    </row>
    <row r="4101" spans="3:3" x14ac:dyDescent="0.25">
      <c r="C4101" s="784"/>
    </row>
    <row r="4102" spans="3:3" x14ac:dyDescent="0.25">
      <c r="C4102" s="784"/>
    </row>
    <row r="4103" spans="3:3" x14ac:dyDescent="0.25">
      <c r="C4103" s="784"/>
    </row>
    <row r="4104" spans="3:3" x14ac:dyDescent="0.25">
      <c r="C4104" s="784"/>
    </row>
    <row r="4105" spans="3:3" x14ac:dyDescent="0.25">
      <c r="C4105" s="784"/>
    </row>
    <row r="4106" spans="3:3" x14ac:dyDescent="0.25">
      <c r="C4106" s="784"/>
    </row>
    <row r="4107" spans="3:3" x14ac:dyDescent="0.25">
      <c r="C4107" s="784"/>
    </row>
    <row r="4108" spans="3:3" x14ac:dyDescent="0.25">
      <c r="C4108" s="784"/>
    </row>
    <row r="4109" spans="3:3" x14ac:dyDescent="0.25">
      <c r="C4109" s="784"/>
    </row>
    <row r="4110" spans="3:3" x14ac:dyDescent="0.25">
      <c r="C4110" s="784"/>
    </row>
    <row r="4111" spans="3:3" x14ac:dyDescent="0.25">
      <c r="C4111" s="784"/>
    </row>
    <row r="4112" spans="3:3" x14ac:dyDescent="0.25">
      <c r="C4112" s="784"/>
    </row>
    <row r="4113" spans="3:3" x14ac:dyDescent="0.25">
      <c r="C4113" s="784"/>
    </row>
    <row r="4114" spans="3:3" x14ac:dyDescent="0.25">
      <c r="C4114" s="784"/>
    </row>
    <row r="4115" spans="3:3" x14ac:dyDescent="0.25">
      <c r="C4115" s="784"/>
    </row>
    <row r="4116" spans="3:3" x14ac:dyDescent="0.25">
      <c r="C4116" s="784"/>
    </row>
    <row r="4117" spans="3:3" x14ac:dyDescent="0.25">
      <c r="C4117" s="784"/>
    </row>
    <row r="4118" spans="3:3" x14ac:dyDescent="0.25">
      <c r="C4118" s="784"/>
    </row>
    <row r="4119" spans="3:3" x14ac:dyDescent="0.25">
      <c r="C4119" s="784"/>
    </row>
    <row r="4120" spans="3:3" x14ac:dyDescent="0.25">
      <c r="C4120" s="784"/>
    </row>
    <row r="4121" spans="3:3" x14ac:dyDescent="0.25">
      <c r="C4121" s="784"/>
    </row>
    <row r="4122" spans="3:3" x14ac:dyDescent="0.25">
      <c r="C4122" s="784"/>
    </row>
    <row r="4123" spans="3:3" x14ac:dyDescent="0.25">
      <c r="C4123" s="784"/>
    </row>
    <row r="4124" spans="3:3" x14ac:dyDescent="0.25">
      <c r="C4124" s="784"/>
    </row>
    <row r="4125" spans="3:3" x14ac:dyDescent="0.25">
      <c r="C4125" s="784"/>
    </row>
    <row r="4126" spans="3:3" x14ac:dyDescent="0.25">
      <c r="C4126" s="784"/>
    </row>
    <row r="4127" spans="3:3" x14ac:dyDescent="0.25">
      <c r="C4127" s="784"/>
    </row>
    <row r="4128" spans="3:3" x14ac:dyDescent="0.25">
      <c r="C4128" s="784"/>
    </row>
    <row r="4129" spans="3:3" x14ac:dyDescent="0.25">
      <c r="C4129" s="784"/>
    </row>
    <row r="4130" spans="3:3" x14ac:dyDescent="0.25">
      <c r="C4130" s="784"/>
    </row>
    <row r="4131" spans="3:3" x14ac:dyDescent="0.25">
      <c r="C4131" s="784"/>
    </row>
    <row r="4132" spans="3:3" x14ac:dyDescent="0.25">
      <c r="C4132" s="784"/>
    </row>
    <row r="4133" spans="3:3" x14ac:dyDescent="0.25">
      <c r="C4133" s="784"/>
    </row>
    <row r="4134" spans="3:3" x14ac:dyDescent="0.25">
      <c r="C4134" s="784"/>
    </row>
    <row r="4135" spans="3:3" x14ac:dyDescent="0.25">
      <c r="C4135" s="784"/>
    </row>
    <row r="4136" spans="3:3" x14ac:dyDescent="0.25">
      <c r="C4136" s="784"/>
    </row>
    <row r="4137" spans="3:3" x14ac:dyDescent="0.25">
      <c r="C4137" s="784"/>
    </row>
    <row r="4138" spans="3:3" x14ac:dyDescent="0.25">
      <c r="C4138" s="784"/>
    </row>
    <row r="4139" spans="3:3" x14ac:dyDescent="0.25">
      <c r="C4139" s="784"/>
    </row>
    <row r="4140" spans="3:3" x14ac:dyDescent="0.25">
      <c r="C4140" s="784"/>
    </row>
    <row r="4141" spans="3:3" x14ac:dyDescent="0.25">
      <c r="C4141" s="784"/>
    </row>
    <row r="4142" spans="3:3" x14ac:dyDescent="0.25">
      <c r="C4142" s="784"/>
    </row>
    <row r="4143" spans="3:3" x14ac:dyDescent="0.25">
      <c r="C4143" s="784"/>
    </row>
    <row r="4144" spans="3:3" x14ac:dyDescent="0.25">
      <c r="C4144" s="784"/>
    </row>
    <row r="4145" spans="3:3" x14ac:dyDescent="0.25">
      <c r="C4145" s="784"/>
    </row>
    <row r="4146" spans="3:3" x14ac:dyDescent="0.25">
      <c r="C4146" s="784"/>
    </row>
    <row r="4147" spans="3:3" x14ac:dyDescent="0.25">
      <c r="C4147" s="784"/>
    </row>
    <row r="4148" spans="3:3" x14ac:dyDescent="0.25">
      <c r="C4148" s="784"/>
    </row>
    <row r="4149" spans="3:3" x14ac:dyDescent="0.25">
      <c r="C4149" s="784"/>
    </row>
    <row r="4150" spans="3:3" x14ac:dyDescent="0.25">
      <c r="C4150" s="784"/>
    </row>
    <row r="4151" spans="3:3" x14ac:dyDescent="0.25">
      <c r="C4151" s="784"/>
    </row>
    <row r="4152" spans="3:3" x14ac:dyDescent="0.25">
      <c r="C4152" s="784"/>
    </row>
    <row r="4153" spans="3:3" x14ac:dyDescent="0.25">
      <c r="C4153" s="784"/>
    </row>
    <row r="4154" spans="3:3" x14ac:dyDescent="0.25">
      <c r="C4154" s="784"/>
    </row>
    <row r="4155" spans="3:3" x14ac:dyDescent="0.25">
      <c r="C4155" s="784"/>
    </row>
    <row r="4156" spans="3:3" x14ac:dyDescent="0.25">
      <c r="C4156" s="784"/>
    </row>
    <row r="4157" spans="3:3" x14ac:dyDescent="0.25">
      <c r="C4157" s="784"/>
    </row>
    <row r="4158" spans="3:3" x14ac:dyDescent="0.25">
      <c r="C4158" s="784"/>
    </row>
    <row r="4159" spans="3:3" x14ac:dyDescent="0.25">
      <c r="C4159" s="784"/>
    </row>
    <row r="4160" spans="3:3" x14ac:dyDescent="0.25">
      <c r="C4160" s="784"/>
    </row>
    <row r="4161" spans="3:3" x14ac:dyDescent="0.25">
      <c r="C4161" s="784"/>
    </row>
    <row r="4162" spans="3:3" x14ac:dyDescent="0.25">
      <c r="C4162" s="784"/>
    </row>
    <row r="4163" spans="3:3" x14ac:dyDescent="0.25">
      <c r="C4163" s="784"/>
    </row>
    <row r="4164" spans="3:3" x14ac:dyDescent="0.25">
      <c r="C4164" s="784"/>
    </row>
    <row r="4165" spans="3:3" x14ac:dyDescent="0.25">
      <c r="C4165" s="784"/>
    </row>
    <row r="4166" spans="3:3" x14ac:dyDescent="0.25">
      <c r="C4166" s="784"/>
    </row>
    <row r="4167" spans="3:3" x14ac:dyDescent="0.25">
      <c r="C4167" s="784"/>
    </row>
    <row r="4168" spans="3:3" x14ac:dyDescent="0.25">
      <c r="C4168" s="784"/>
    </row>
    <row r="4169" spans="3:3" x14ac:dyDescent="0.25">
      <c r="C4169" s="784"/>
    </row>
    <row r="4170" spans="3:3" x14ac:dyDescent="0.25">
      <c r="C4170" s="784"/>
    </row>
    <row r="4171" spans="3:3" x14ac:dyDescent="0.25">
      <c r="C4171" s="784"/>
    </row>
    <row r="4172" spans="3:3" x14ac:dyDescent="0.25">
      <c r="C4172" s="784"/>
    </row>
    <row r="4173" spans="3:3" x14ac:dyDescent="0.25">
      <c r="C4173" s="784"/>
    </row>
    <row r="4174" spans="3:3" x14ac:dyDescent="0.25">
      <c r="C4174" s="784"/>
    </row>
    <row r="4175" spans="3:3" x14ac:dyDescent="0.25">
      <c r="C4175" s="784"/>
    </row>
    <row r="4176" spans="3:3" x14ac:dyDescent="0.25">
      <c r="C4176" s="784"/>
    </row>
    <row r="4177" spans="3:3" x14ac:dyDescent="0.25">
      <c r="C4177" s="784"/>
    </row>
    <row r="4178" spans="3:3" x14ac:dyDescent="0.25">
      <c r="C4178" s="784"/>
    </row>
    <row r="4179" spans="3:3" x14ac:dyDescent="0.25">
      <c r="C4179" s="784"/>
    </row>
    <row r="4180" spans="3:3" x14ac:dyDescent="0.25">
      <c r="C4180" s="784"/>
    </row>
    <row r="4181" spans="3:3" x14ac:dyDescent="0.25">
      <c r="C4181" s="784"/>
    </row>
    <row r="4182" spans="3:3" x14ac:dyDescent="0.25">
      <c r="C4182" s="784"/>
    </row>
    <row r="4183" spans="3:3" x14ac:dyDescent="0.25">
      <c r="C4183" s="784"/>
    </row>
    <row r="4184" spans="3:3" x14ac:dyDescent="0.25">
      <c r="C4184" s="784"/>
    </row>
    <row r="4185" spans="3:3" x14ac:dyDescent="0.25">
      <c r="C4185" s="784"/>
    </row>
    <row r="4186" spans="3:3" x14ac:dyDescent="0.25">
      <c r="C4186" s="784"/>
    </row>
    <row r="4187" spans="3:3" x14ac:dyDescent="0.25">
      <c r="C4187" s="784"/>
    </row>
    <row r="4188" spans="3:3" x14ac:dyDescent="0.25">
      <c r="C4188" s="784"/>
    </row>
    <row r="4189" spans="3:3" x14ac:dyDescent="0.25">
      <c r="C4189" s="784"/>
    </row>
    <row r="4190" spans="3:3" x14ac:dyDescent="0.25">
      <c r="C4190" s="784"/>
    </row>
    <row r="4191" spans="3:3" x14ac:dyDescent="0.25">
      <c r="C4191" s="784"/>
    </row>
    <row r="4192" spans="3:3" x14ac:dyDescent="0.25">
      <c r="C4192" s="784"/>
    </row>
    <row r="4193" spans="3:3" x14ac:dyDescent="0.25">
      <c r="C4193" s="784"/>
    </row>
    <row r="4194" spans="3:3" x14ac:dyDescent="0.25">
      <c r="C4194" s="784"/>
    </row>
    <row r="4195" spans="3:3" x14ac:dyDescent="0.25">
      <c r="C4195" s="784"/>
    </row>
    <row r="4196" spans="3:3" x14ac:dyDescent="0.25">
      <c r="C4196" s="784"/>
    </row>
    <row r="4197" spans="3:3" x14ac:dyDescent="0.25">
      <c r="C4197" s="784"/>
    </row>
    <row r="4198" spans="3:3" x14ac:dyDescent="0.25">
      <c r="C4198" s="784"/>
    </row>
    <row r="4199" spans="3:3" x14ac:dyDescent="0.25">
      <c r="C4199" s="784"/>
    </row>
    <row r="4200" spans="3:3" x14ac:dyDescent="0.25">
      <c r="C4200" s="784"/>
    </row>
    <row r="4201" spans="3:3" x14ac:dyDescent="0.25">
      <c r="C4201" s="784"/>
    </row>
    <row r="4202" spans="3:3" x14ac:dyDescent="0.25">
      <c r="C4202" s="784"/>
    </row>
    <row r="4203" spans="3:3" x14ac:dyDescent="0.25">
      <c r="C4203" s="784"/>
    </row>
    <row r="4204" spans="3:3" x14ac:dyDescent="0.25">
      <c r="C4204" s="784"/>
    </row>
    <row r="4205" spans="3:3" x14ac:dyDescent="0.25">
      <c r="C4205" s="784"/>
    </row>
    <row r="4206" spans="3:3" x14ac:dyDescent="0.25">
      <c r="C4206" s="784"/>
    </row>
    <row r="4207" spans="3:3" x14ac:dyDescent="0.25">
      <c r="C4207" s="784"/>
    </row>
    <row r="4208" spans="3:3" x14ac:dyDescent="0.25">
      <c r="C4208" s="784"/>
    </row>
    <row r="4209" spans="3:3" x14ac:dyDescent="0.25">
      <c r="C4209" s="784"/>
    </row>
    <row r="4210" spans="3:3" x14ac:dyDescent="0.25">
      <c r="C4210" s="784"/>
    </row>
    <row r="4211" spans="3:3" x14ac:dyDescent="0.25">
      <c r="C4211" s="784"/>
    </row>
    <row r="4212" spans="3:3" x14ac:dyDescent="0.25">
      <c r="C4212" s="784"/>
    </row>
    <row r="4213" spans="3:3" x14ac:dyDescent="0.25">
      <c r="C4213" s="784"/>
    </row>
    <row r="4214" spans="3:3" x14ac:dyDescent="0.25">
      <c r="C4214" s="784"/>
    </row>
    <row r="4215" spans="3:3" x14ac:dyDescent="0.25">
      <c r="C4215" s="784"/>
    </row>
    <row r="4216" spans="3:3" x14ac:dyDescent="0.25">
      <c r="C4216" s="784"/>
    </row>
    <row r="4217" spans="3:3" x14ac:dyDescent="0.25">
      <c r="C4217" s="784"/>
    </row>
    <row r="4218" spans="3:3" x14ac:dyDescent="0.25">
      <c r="C4218" s="784"/>
    </row>
    <row r="4219" spans="3:3" x14ac:dyDescent="0.25">
      <c r="C4219" s="784"/>
    </row>
    <row r="4220" spans="3:3" x14ac:dyDescent="0.25">
      <c r="C4220" s="784"/>
    </row>
    <row r="4221" spans="3:3" x14ac:dyDescent="0.25">
      <c r="C4221" s="784"/>
    </row>
    <row r="4222" spans="3:3" x14ac:dyDescent="0.25">
      <c r="C4222" s="784"/>
    </row>
    <row r="4223" spans="3:3" x14ac:dyDescent="0.25">
      <c r="C4223" s="784"/>
    </row>
    <row r="4224" spans="3:3" x14ac:dyDescent="0.25">
      <c r="C4224" s="784"/>
    </row>
    <row r="4225" spans="3:3" x14ac:dyDescent="0.25">
      <c r="C4225" s="784"/>
    </row>
    <row r="4226" spans="3:3" x14ac:dyDescent="0.25">
      <c r="C4226" s="784"/>
    </row>
    <row r="4227" spans="3:3" x14ac:dyDescent="0.25">
      <c r="C4227" s="784"/>
    </row>
    <row r="4228" spans="3:3" x14ac:dyDescent="0.25">
      <c r="C4228" s="784"/>
    </row>
    <row r="4229" spans="3:3" x14ac:dyDescent="0.25">
      <c r="C4229" s="784"/>
    </row>
    <row r="4230" spans="3:3" x14ac:dyDescent="0.25">
      <c r="C4230" s="784"/>
    </row>
    <row r="4231" spans="3:3" x14ac:dyDescent="0.25">
      <c r="C4231" s="784"/>
    </row>
    <row r="4232" spans="3:3" x14ac:dyDescent="0.25">
      <c r="C4232" s="784"/>
    </row>
    <row r="4233" spans="3:3" x14ac:dyDescent="0.25">
      <c r="C4233" s="784"/>
    </row>
    <row r="4234" spans="3:3" x14ac:dyDescent="0.25">
      <c r="C4234" s="784"/>
    </row>
    <row r="4235" spans="3:3" x14ac:dyDescent="0.25">
      <c r="C4235" s="784"/>
    </row>
    <row r="4236" spans="3:3" x14ac:dyDescent="0.25">
      <c r="C4236" s="784"/>
    </row>
    <row r="4237" spans="3:3" x14ac:dyDescent="0.25">
      <c r="C4237" s="784"/>
    </row>
    <row r="4238" spans="3:3" x14ac:dyDescent="0.25">
      <c r="C4238" s="784"/>
    </row>
    <row r="4239" spans="3:3" x14ac:dyDescent="0.25">
      <c r="C4239" s="784"/>
    </row>
    <row r="4240" spans="3:3" x14ac:dyDescent="0.25">
      <c r="C4240" s="784"/>
    </row>
    <row r="4241" spans="3:3" x14ac:dyDescent="0.25">
      <c r="C4241" s="784"/>
    </row>
    <row r="4242" spans="3:3" x14ac:dyDescent="0.25">
      <c r="C4242" s="784"/>
    </row>
    <row r="4243" spans="3:3" x14ac:dyDescent="0.25">
      <c r="C4243" s="784"/>
    </row>
    <row r="4244" spans="3:3" x14ac:dyDescent="0.25">
      <c r="C4244" s="784"/>
    </row>
    <row r="4245" spans="3:3" x14ac:dyDescent="0.25">
      <c r="C4245" s="784"/>
    </row>
    <row r="4246" spans="3:3" x14ac:dyDescent="0.25">
      <c r="C4246" s="784"/>
    </row>
    <row r="4247" spans="3:3" x14ac:dyDescent="0.25">
      <c r="C4247" s="784"/>
    </row>
    <row r="4248" spans="3:3" x14ac:dyDescent="0.25">
      <c r="C4248" s="784"/>
    </row>
    <row r="4249" spans="3:3" x14ac:dyDescent="0.25">
      <c r="C4249" s="784"/>
    </row>
    <row r="4250" spans="3:3" x14ac:dyDescent="0.25">
      <c r="C4250" s="784"/>
    </row>
    <row r="4251" spans="3:3" x14ac:dyDescent="0.25">
      <c r="C4251" s="784"/>
    </row>
    <row r="4252" spans="3:3" x14ac:dyDescent="0.25">
      <c r="C4252" s="784"/>
    </row>
    <row r="4253" spans="3:3" x14ac:dyDescent="0.25">
      <c r="C4253" s="784"/>
    </row>
    <row r="4254" spans="3:3" x14ac:dyDescent="0.25">
      <c r="C4254" s="784"/>
    </row>
    <row r="4255" spans="3:3" x14ac:dyDescent="0.25">
      <c r="C4255" s="784"/>
    </row>
    <row r="4256" spans="3:3" x14ac:dyDescent="0.25">
      <c r="C4256" s="784"/>
    </row>
    <row r="4257" spans="3:3" x14ac:dyDescent="0.25">
      <c r="C4257" s="784"/>
    </row>
    <row r="4258" spans="3:3" x14ac:dyDescent="0.25">
      <c r="C4258" s="784"/>
    </row>
    <row r="4259" spans="3:3" x14ac:dyDescent="0.25">
      <c r="C4259" s="784"/>
    </row>
    <row r="4260" spans="3:3" x14ac:dyDescent="0.25">
      <c r="C4260" s="784"/>
    </row>
    <row r="4261" spans="3:3" x14ac:dyDescent="0.25">
      <c r="C4261" s="784"/>
    </row>
    <row r="4262" spans="3:3" x14ac:dyDescent="0.25">
      <c r="C4262" s="784"/>
    </row>
    <row r="4263" spans="3:3" x14ac:dyDescent="0.25">
      <c r="C4263" s="784"/>
    </row>
    <row r="4264" spans="3:3" x14ac:dyDescent="0.25">
      <c r="C4264" s="784"/>
    </row>
    <row r="4265" spans="3:3" x14ac:dyDescent="0.25">
      <c r="C4265" s="784"/>
    </row>
    <row r="4266" spans="3:3" x14ac:dyDescent="0.25">
      <c r="C4266" s="784"/>
    </row>
    <row r="4267" spans="3:3" x14ac:dyDescent="0.25">
      <c r="C4267" s="784"/>
    </row>
    <row r="4268" spans="3:3" x14ac:dyDescent="0.25">
      <c r="C4268" s="784"/>
    </row>
    <row r="4269" spans="3:3" x14ac:dyDescent="0.25">
      <c r="C4269" s="784"/>
    </row>
    <row r="4270" spans="3:3" x14ac:dyDescent="0.25">
      <c r="C4270" s="784"/>
    </row>
    <row r="4271" spans="3:3" x14ac:dyDescent="0.25">
      <c r="C4271" s="784"/>
    </row>
    <row r="4272" spans="3:3" x14ac:dyDescent="0.25">
      <c r="C4272" s="784"/>
    </row>
    <row r="4273" spans="3:3" x14ac:dyDescent="0.25">
      <c r="C4273" s="784"/>
    </row>
    <row r="4274" spans="3:3" x14ac:dyDescent="0.25">
      <c r="C4274" s="784"/>
    </row>
    <row r="4275" spans="3:3" x14ac:dyDescent="0.25">
      <c r="C4275" s="784"/>
    </row>
    <row r="4276" spans="3:3" x14ac:dyDescent="0.25">
      <c r="C4276" s="784"/>
    </row>
    <row r="4277" spans="3:3" x14ac:dyDescent="0.25">
      <c r="C4277" s="784"/>
    </row>
    <row r="4278" spans="3:3" x14ac:dyDescent="0.25">
      <c r="C4278" s="784"/>
    </row>
    <row r="4279" spans="3:3" x14ac:dyDescent="0.25">
      <c r="C4279" s="784"/>
    </row>
    <row r="4280" spans="3:3" x14ac:dyDescent="0.25">
      <c r="C4280" s="784"/>
    </row>
    <row r="4281" spans="3:3" x14ac:dyDescent="0.25">
      <c r="C4281" s="784"/>
    </row>
    <row r="4282" spans="3:3" x14ac:dyDescent="0.25">
      <c r="C4282" s="784"/>
    </row>
    <row r="4283" spans="3:3" x14ac:dyDescent="0.25">
      <c r="C4283" s="784"/>
    </row>
    <row r="4284" spans="3:3" x14ac:dyDescent="0.25">
      <c r="C4284" s="784"/>
    </row>
    <row r="4285" spans="3:3" x14ac:dyDescent="0.25">
      <c r="C4285" s="784"/>
    </row>
    <row r="4286" spans="3:3" x14ac:dyDescent="0.25">
      <c r="C4286" s="784"/>
    </row>
    <row r="4287" spans="3:3" x14ac:dyDescent="0.25">
      <c r="C4287" s="784"/>
    </row>
    <row r="4288" spans="3:3" x14ac:dyDescent="0.25">
      <c r="C4288" s="784"/>
    </row>
    <row r="4289" spans="3:3" x14ac:dyDescent="0.25">
      <c r="C4289" s="784"/>
    </row>
    <row r="4290" spans="3:3" x14ac:dyDescent="0.25">
      <c r="C4290" s="784"/>
    </row>
    <row r="4291" spans="3:3" x14ac:dyDescent="0.25">
      <c r="C4291" s="784"/>
    </row>
    <row r="4292" spans="3:3" x14ac:dyDescent="0.25">
      <c r="C4292" s="784"/>
    </row>
    <row r="4293" spans="3:3" x14ac:dyDescent="0.25">
      <c r="C4293" s="784"/>
    </row>
    <row r="4294" spans="3:3" x14ac:dyDescent="0.25">
      <c r="C4294" s="784"/>
    </row>
    <row r="4295" spans="3:3" x14ac:dyDescent="0.25">
      <c r="C4295" s="784"/>
    </row>
    <row r="4296" spans="3:3" x14ac:dyDescent="0.25">
      <c r="C4296" s="784"/>
    </row>
    <row r="4297" spans="3:3" x14ac:dyDescent="0.25">
      <c r="C4297" s="784"/>
    </row>
    <row r="4298" spans="3:3" x14ac:dyDescent="0.25">
      <c r="C4298" s="784"/>
    </row>
    <row r="4299" spans="3:3" x14ac:dyDescent="0.25">
      <c r="C4299" s="784"/>
    </row>
    <row r="4300" spans="3:3" x14ac:dyDescent="0.25">
      <c r="C4300" s="784"/>
    </row>
    <row r="4301" spans="3:3" x14ac:dyDescent="0.25">
      <c r="C4301" s="784"/>
    </row>
    <row r="4302" spans="3:3" x14ac:dyDescent="0.25">
      <c r="C4302" s="784"/>
    </row>
    <row r="4303" spans="3:3" x14ac:dyDescent="0.25">
      <c r="C4303" s="784"/>
    </row>
    <row r="4304" spans="3:3" x14ac:dyDescent="0.25">
      <c r="C4304" s="784"/>
    </row>
    <row r="4305" spans="3:3" x14ac:dyDescent="0.25">
      <c r="C4305" s="784"/>
    </row>
    <row r="4306" spans="3:3" x14ac:dyDescent="0.25">
      <c r="C4306" s="784"/>
    </row>
    <row r="4307" spans="3:3" x14ac:dyDescent="0.25">
      <c r="C4307" s="784"/>
    </row>
    <row r="4308" spans="3:3" x14ac:dyDescent="0.25">
      <c r="C4308" s="784"/>
    </row>
    <row r="4309" spans="3:3" x14ac:dyDescent="0.25">
      <c r="C4309" s="784"/>
    </row>
    <row r="4310" spans="3:3" x14ac:dyDescent="0.25">
      <c r="C4310" s="784"/>
    </row>
    <row r="4311" spans="3:3" x14ac:dyDescent="0.25">
      <c r="C4311" s="784"/>
    </row>
    <row r="4312" spans="3:3" x14ac:dyDescent="0.25">
      <c r="C4312" s="784"/>
    </row>
    <row r="4313" spans="3:3" x14ac:dyDescent="0.25">
      <c r="C4313" s="784"/>
    </row>
    <row r="4314" spans="3:3" x14ac:dyDescent="0.25">
      <c r="C4314" s="784"/>
    </row>
    <row r="4315" spans="3:3" x14ac:dyDescent="0.25">
      <c r="C4315" s="784"/>
    </row>
    <row r="4316" spans="3:3" x14ac:dyDescent="0.25">
      <c r="C4316" s="784"/>
    </row>
    <row r="4317" spans="3:3" x14ac:dyDescent="0.25">
      <c r="C4317" s="784"/>
    </row>
    <row r="4318" spans="3:3" x14ac:dyDescent="0.25">
      <c r="C4318" s="784"/>
    </row>
    <row r="4319" spans="3:3" x14ac:dyDescent="0.25">
      <c r="C4319" s="784"/>
    </row>
    <row r="4320" spans="3:3" x14ac:dyDescent="0.25">
      <c r="C4320" s="784"/>
    </row>
    <row r="4321" spans="3:3" x14ac:dyDescent="0.25">
      <c r="C4321" s="784"/>
    </row>
    <row r="4322" spans="3:3" x14ac:dyDescent="0.25">
      <c r="C4322" s="784"/>
    </row>
    <row r="4323" spans="3:3" x14ac:dyDescent="0.25">
      <c r="C4323" s="784"/>
    </row>
    <row r="4324" spans="3:3" x14ac:dyDescent="0.25">
      <c r="C4324" s="784"/>
    </row>
    <row r="4325" spans="3:3" x14ac:dyDescent="0.25">
      <c r="C4325" s="784"/>
    </row>
    <row r="4326" spans="3:3" x14ac:dyDescent="0.25">
      <c r="C4326" s="784"/>
    </row>
    <row r="4327" spans="3:3" x14ac:dyDescent="0.25">
      <c r="C4327" s="784"/>
    </row>
    <row r="4328" spans="3:3" x14ac:dyDescent="0.25">
      <c r="C4328" s="784"/>
    </row>
    <row r="4329" spans="3:3" x14ac:dyDescent="0.25">
      <c r="C4329" s="784"/>
    </row>
    <row r="4330" spans="3:3" x14ac:dyDescent="0.25">
      <c r="C4330" s="784"/>
    </row>
    <row r="4331" spans="3:3" x14ac:dyDescent="0.25">
      <c r="C4331" s="784"/>
    </row>
    <row r="4332" spans="3:3" x14ac:dyDescent="0.25">
      <c r="C4332" s="784"/>
    </row>
    <row r="4333" spans="3:3" x14ac:dyDescent="0.25">
      <c r="C4333" s="784"/>
    </row>
    <row r="4334" spans="3:3" x14ac:dyDescent="0.25">
      <c r="C4334" s="784"/>
    </row>
    <row r="4335" spans="3:3" x14ac:dyDescent="0.25">
      <c r="C4335" s="784"/>
    </row>
    <row r="4336" spans="3:3" x14ac:dyDescent="0.25">
      <c r="C4336" s="784"/>
    </row>
    <row r="4337" spans="3:3" x14ac:dyDescent="0.25">
      <c r="C4337" s="784"/>
    </row>
    <row r="4338" spans="3:3" x14ac:dyDescent="0.25">
      <c r="C4338" s="784"/>
    </row>
    <row r="4339" spans="3:3" x14ac:dyDescent="0.25">
      <c r="C4339" s="784"/>
    </row>
    <row r="4340" spans="3:3" x14ac:dyDescent="0.25">
      <c r="C4340" s="784"/>
    </row>
    <row r="4341" spans="3:3" x14ac:dyDescent="0.25">
      <c r="C4341" s="784"/>
    </row>
    <row r="4342" spans="3:3" x14ac:dyDescent="0.25">
      <c r="C4342" s="784"/>
    </row>
    <row r="4343" spans="3:3" x14ac:dyDescent="0.25">
      <c r="C4343" s="784"/>
    </row>
    <row r="4344" spans="3:3" x14ac:dyDescent="0.25">
      <c r="C4344" s="784"/>
    </row>
    <row r="4345" spans="3:3" x14ac:dyDescent="0.25">
      <c r="C4345" s="784"/>
    </row>
    <row r="4346" spans="3:3" x14ac:dyDescent="0.25">
      <c r="C4346" s="784"/>
    </row>
    <row r="4347" spans="3:3" x14ac:dyDescent="0.25">
      <c r="C4347" s="784"/>
    </row>
    <row r="4348" spans="3:3" x14ac:dyDescent="0.25">
      <c r="C4348" s="784"/>
    </row>
    <row r="4349" spans="3:3" x14ac:dyDescent="0.25">
      <c r="C4349" s="784"/>
    </row>
    <row r="4350" spans="3:3" x14ac:dyDescent="0.25">
      <c r="C4350" s="784"/>
    </row>
    <row r="4351" spans="3:3" x14ac:dyDescent="0.25">
      <c r="C4351" s="784"/>
    </row>
    <row r="4352" spans="3:3" x14ac:dyDescent="0.25">
      <c r="C4352" s="784"/>
    </row>
    <row r="4353" spans="3:3" x14ac:dyDescent="0.25">
      <c r="C4353" s="784"/>
    </row>
    <row r="4354" spans="3:3" x14ac:dyDescent="0.25">
      <c r="C4354" s="784"/>
    </row>
    <row r="4355" spans="3:3" x14ac:dyDescent="0.25">
      <c r="C4355" s="784"/>
    </row>
    <row r="4356" spans="3:3" x14ac:dyDescent="0.25">
      <c r="C4356" s="784"/>
    </row>
    <row r="4357" spans="3:3" x14ac:dyDescent="0.25">
      <c r="C4357" s="784"/>
    </row>
    <row r="4358" spans="3:3" x14ac:dyDescent="0.25">
      <c r="C4358" s="784"/>
    </row>
    <row r="4359" spans="3:3" x14ac:dyDescent="0.25">
      <c r="C4359" s="784"/>
    </row>
    <row r="4360" spans="3:3" x14ac:dyDescent="0.25">
      <c r="C4360" s="784"/>
    </row>
    <row r="4361" spans="3:3" x14ac:dyDescent="0.25">
      <c r="C4361" s="784"/>
    </row>
    <row r="4362" spans="3:3" x14ac:dyDescent="0.25">
      <c r="C4362" s="784"/>
    </row>
    <row r="4363" spans="3:3" x14ac:dyDescent="0.25">
      <c r="C4363" s="784"/>
    </row>
    <row r="4364" spans="3:3" x14ac:dyDescent="0.25">
      <c r="C4364" s="784"/>
    </row>
    <row r="4365" spans="3:3" x14ac:dyDescent="0.25">
      <c r="C4365" s="784"/>
    </row>
    <row r="4366" spans="3:3" x14ac:dyDescent="0.25">
      <c r="C4366" s="784"/>
    </row>
    <row r="4367" spans="3:3" x14ac:dyDescent="0.25">
      <c r="C4367" s="784"/>
    </row>
    <row r="4368" spans="3:3" x14ac:dyDescent="0.25">
      <c r="C4368" s="784"/>
    </row>
    <row r="4369" spans="3:3" x14ac:dyDescent="0.25">
      <c r="C4369" s="784"/>
    </row>
    <row r="4370" spans="3:3" x14ac:dyDescent="0.25">
      <c r="C4370" s="784"/>
    </row>
    <row r="4371" spans="3:3" x14ac:dyDescent="0.25">
      <c r="C4371" s="784"/>
    </row>
    <row r="4372" spans="3:3" x14ac:dyDescent="0.25">
      <c r="C4372" s="784"/>
    </row>
    <row r="4373" spans="3:3" x14ac:dyDescent="0.25">
      <c r="C4373" s="784"/>
    </row>
    <row r="4374" spans="3:3" x14ac:dyDescent="0.25">
      <c r="C4374" s="784"/>
    </row>
    <row r="4375" spans="3:3" x14ac:dyDescent="0.25">
      <c r="C4375" s="784"/>
    </row>
    <row r="4376" spans="3:3" x14ac:dyDescent="0.25">
      <c r="C4376" s="784"/>
    </row>
    <row r="4377" spans="3:3" x14ac:dyDescent="0.25">
      <c r="C4377" s="784"/>
    </row>
    <row r="4378" spans="3:3" x14ac:dyDescent="0.25">
      <c r="C4378" s="784"/>
    </row>
    <row r="4379" spans="3:3" x14ac:dyDescent="0.25">
      <c r="C4379" s="784"/>
    </row>
    <row r="4380" spans="3:3" x14ac:dyDescent="0.25">
      <c r="C4380" s="784"/>
    </row>
    <row r="4381" spans="3:3" x14ac:dyDescent="0.25">
      <c r="C4381" s="784"/>
    </row>
    <row r="4382" spans="3:3" x14ac:dyDescent="0.25">
      <c r="C4382" s="784"/>
    </row>
    <row r="4383" spans="3:3" x14ac:dyDescent="0.25">
      <c r="C4383" s="784"/>
    </row>
    <row r="4384" spans="3:3" x14ac:dyDescent="0.25">
      <c r="C4384" s="784"/>
    </row>
    <row r="4385" spans="3:3" x14ac:dyDescent="0.25">
      <c r="C4385" s="784"/>
    </row>
    <row r="4386" spans="3:3" x14ac:dyDescent="0.25">
      <c r="C4386" s="784"/>
    </row>
    <row r="4387" spans="3:3" x14ac:dyDescent="0.25">
      <c r="C4387" s="784"/>
    </row>
    <row r="4388" spans="3:3" x14ac:dyDescent="0.25">
      <c r="C4388" s="784"/>
    </row>
    <row r="4389" spans="3:3" x14ac:dyDescent="0.25">
      <c r="C4389" s="784"/>
    </row>
    <row r="4390" spans="3:3" x14ac:dyDescent="0.25">
      <c r="C4390" s="784"/>
    </row>
    <row r="4391" spans="3:3" x14ac:dyDescent="0.25">
      <c r="C4391" s="784"/>
    </row>
    <row r="4392" spans="3:3" x14ac:dyDescent="0.25">
      <c r="C4392" s="784"/>
    </row>
    <row r="4393" spans="3:3" x14ac:dyDescent="0.25">
      <c r="C4393" s="784"/>
    </row>
    <row r="4394" spans="3:3" x14ac:dyDescent="0.25">
      <c r="C4394" s="784"/>
    </row>
    <row r="4395" spans="3:3" x14ac:dyDescent="0.25">
      <c r="C4395" s="784"/>
    </row>
    <row r="4396" spans="3:3" x14ac:dyDescent="0.25">
      <c r="C4396" s="784"/>
    </row>
    <row r="4397" spans="3:3" x14ac:dyDescent="0.25">
      <c r="C4397" s="784"/>
    </row>
    <row r="4398" spans="3:3" x14ac:dyDescent="0.25">
      <c r="C4398" s="784"/>
    </row>
    <row r="4399" spans="3:3" x14ac:dyDescent="0.25">
      <c r="C4399" s="784"/>
    </row>
    <row r="4400" spans="3:3" x14ac:dyDescent="0.25">
      <c r="C4400" s="784"/>
    </row>
    <row r="4401" spans="3:3" x14ac:dyDescent="0.25">
      <c r="C4401" s="784"/>
    </row>
    <row r="4402" spans="3:3" x14ac:dyDescent="0.25">
      <c r="C4402" s="784"/>
    </row>
    <row r="4403" spans="3:3" x14ac:dyDescent="0.25">
      <c r="C4403" s="784"/>
    </row>
    <row r="4404" spans="3:3" x14ac:dyDescent="0.25">
      <c r="C4404" s="784"/>
    </row>
    <row r="4405" spans="3:3" x14ac:dyDescent="0.25">
      <c r="C4405" s="784"/>
    </row>
    <row r="4406" spans="3:3" x14ac:dyDescent="0.25">
      <c r="C4406" s="784"/>
    </row>
    <row r="4407" spans="3:3" x14ac:dyDescent="0.25">
      <c r="C4407" s="784"/>
    </row>
    <row r="4408" spans="3:3" x14ac:dyDescent="0.25">
      <c r="C4408" s="784"/>
    </row>
    <row r="4409" spans="3:3" x14ac:dyDescent="0.25">
      <c r="C4409" s="784"/>
    </row>
    <row r="4410" spans="3:3" x14ac:dyDescent="0.25">
      <c r="C4410" s="784"/>
    </row>
    <row r="4411" spans="3:3" x14ac:dyDescent="0.25">
      <c r="C4411" s="784"/>
    </row>
    <row r="4412" spans="3:3" x14ac:dyDescent="0.25">
      <c r="C4412" s="784"/>
    </row>
    <row r="4413" spans="3:3" x14ac:dyDescent="0.25">
      <c r="C4413" s="784"/>
    </row>
    <row r="4414" spans="3:3" x14ac:dyDescent="0.25">
      <c r="C4414" s="784"/>
    </row>
    <row r="4415" spans="3:3" x14ac:dyDescent="0.25">
      <c r="C4415" s="784"/>
    </row>
    <row r="4416" spans="3:3" x14ac:dyDescent="0.25">
      <c r="C4416" s="784"/>
    </row>
    <row r="4417" spans="3:3" x14ac:dyDescent="0.25">
      <c r="C4417" s="784"/>
    </row>
    <row r="4418" spans="3:3" x14ac:dyDescent="0.25">
      <c r="C4418" s="784"/>
    </row>
    <row r="4419" spans="3:3" x14ac:dyDescent="0.25">
      <c r="C4419" s="784"/>
    </row>
    <row r="4420" spans="3:3" x14ac:dyDescent="0.25">
      <c r="C4420" s="784"/>
    </row>
    <row r="4421" spans="3:3" x14ac:dyDescent="0.25">
      <c r="C4421" s="784"/>
    </row>
    <row r="4422" spans="3:3" x14ac:dyDescent="0.25">
      <c r="C4422" s="784"/>
    </row>
    <row r="4423" spans="3:3" x14ac:dyDescent="0.25">
      <c r="C4423" s="784"/>
    </row>
    <row r="4424" spans="3:3" x14ac:dyDescent="0.25">
      <c r="C4424" s="784"/>
    </row>
    <row r="4425" spans="3:3" x14ac:dyDescent="0.25">
      <c r="C4425" s="784"/>
    </row>
    <row r="4426" spans="3:3" x14ac:dyDescent="0.25">
      <c r="C4426" s="784"/>
    </row>
    <row r="4427" spans="3:3" x14ac:dyDescent="0.25">
      <c r="C4427" s="784"/>
    </row>
    <row r="4428" spans="3:3" x14ac:dyDescent="0.25">
      <c r="C4428" s="784"/>
    </row>
    <row r="4429" spans="3:3" x14ac:dyDescent="0.25">
      <c r="C4429" s="784"/>
    </row>
    <row r="4430" spans="3:3" x14ac:dyDescent="0.25">
      <c r="C4430" s="784"/>
    </row>
    <row r="4431" spans="3:3" x14ac:dyDescent="0.25">
      <c r="C4431" s="784"/>
    </row>
    <row r="4432" spans="3:3" x14ac:dyDescent="0.25">
      <c r="C4432" s="784"/>
    </row>
    <row r="4433" spans="3:3" x14ac:dyDescent="0.25">
      <c r="C4433" s="784"/>
    </row>
    <row r="4434" spans="3:3" x14ac:dyDescent="0.25">
      <c r="C4434" s="784"/>
    </row>
    <row r="4435" spans="3:3" x14ac:dyDescent="0.25">
      <c r="C4435" s="784"/>
    </row>
    <row r="4436" spans="3:3" x14ac:dyDescent="0.25">
      <c r="C4436" s="784"/>
    </row>
    <row r="4437" spans="3:3" x14ac:dyDescent="0.25">
      <c r="C4437" s="784"/>
    </row>
    <row r="4438" spans="3:3" x14ac:dyDescent="0.25">
      <c r="C4438" s="784"/>
    </row>
    <row r="4439" spans="3:3" x14ac:dyDescent="0.25">
      <c r="C4439" s="784"/>
    </row>
    <row r="4440" spans="3:3" x14ac:dyDescent="0.25">
      <c r="C4440" s="784"/>
    </row>
    <row r="4441" spans="3:3" x14ac:dyDescent="0.25">
      <c r="C4441" s="784"/>
    </row>
    <row r="4442" spans="3:3" x14ac:dyDescent="0.25">
      <c r="C4442" s="784"/>
    </row>
    <row r="4443" spans="3:3" x14ac:dyDescent="0.25">
      <c r="C4443" s="784"/>
    </row>
    <row r="4444" spans="3:3" x14ac:dyDescent="0.25">
      <c r="C4444" s="784"/>
    </row>
    <row r="4445" spans="3:3" x14ac:dyDescent="0.25">
      <c r="C4445" s="784"/>
    </row>
    <row r="4446" spans="3:3" x14ac:dyDescent="0.25">
      <c r="C4446" s="784"/>
    </row>
    <row r="4447" spans="3:3" x14ac:dyDescent="0.25">
      <c r="C4447" s="784"/>
    </row>
    <row r="4448" spans="3:3" x14ac:dyDescent="0.25">
      <c r="C4448" s="784"/>
    </row>
    <row r="4449" spans="3:3" x14ac:dyDescent="0.25">
      <c r="C4449" s="784"/>
    </row>
    <row r="4450" spans="3:3" x14ac:dyDescent="0.25">
      <c r="C4450" s="784"/>
    </row>
    <row r="4451" spans="3:3" x14ac:dyDescent="0.25">
      <c r="C4451" s="784"/>
    </row>
    <row r="4452" spans="3:3" x14ac:dyDescent="0.25">
      <c r="C4452" s="784"/>
    </row>
    <row r="4453" spans="3:3" x14ac:dyDescent="0.25">
      <c r="C4453" s="784"/>
    </row>
    <row r="4454" spans="3:3" x14ac:dyDescent="0.25">
      <c r="C4454" s="784"/>
    </row>
    <row r="4455" spans="3:3" x14ac:dyDescent="0.25">
      <c r="C4455" s="784"/>
    </row>
    <row r="4456" spans="3:3" x14ac:dyDescent="0.25">
      <c r="C4456" s="784"/>
    </row>
    <row r="4457" spans="3:3" x14ac:dyDescent="0.25">
      <c r="C4457" s="784"/>
    </row>
    <row r="4458" spans="3:3" x14ac:dyDescent="0.25">
      <c r="C4458" s="784"/>
    </row>
    <row r="4459" spans="3:3" x14ac:dyDescent="0.25">
      <c r="C4459" s="784"/>
    </row>
    <row r="4460" spans="3:3" x14ac:dyDescent="0.25">
      <c r="C4460" s="784"/>
    </row>
    <row r="4461" spans="3:3" x14ac:dyDescent="0.25">
      <c r="C4461" s="784"/>
    </row>
    <row r="4462" spans="3:3" x14ac:dyDescent="0.25">
      <c r="C4462" s="784"/>
    </row>
    <row r="4463" spans="3:3" x14ac:dyDescent="0.25">
      <c r="C4463" s="784"/>
    </row>
    <row r="4464" spans="3:3" x14ac:dyDescent="0.25">
      <c r="C4464" s="784"/>
    </row>
    <row r="4465" spans="3:3" x14ac:dyDescent="0.25">
      <c r="C4465" s="784"/>
    </row>
    <row r="4466" spans="3:3" x14ac:dyDescent="0.25">
      <c r="C4466" s="784"/>
    </row>
    <row r="4467" spans="3:3" x14ac:dyDescent="0.25">
      <c r="C4467" s="784"/>
    </row>
    <row r="4468" spans="3:3" x14ac:dyDescent="0.25">
      <c r="C4468" s="784"/>
    </row>
    <row r="4469" spans="3:3" x14ac:dyDescent="0.25">
      <c r="C4469" s="784"/>
    </row>
    <row r="4470" spans="3:3" x14ac:dyDescent="0.25">
      <c r="C4470" s="784"/>
    </row>
    <row r="4471" spans="3:3" x14ac:dyDescent="0.25">
      <c r="C4471" s="784"/>
    </row>
    <row r="4472" spans="3:3" x14ac:dyDescent="0.25">
      <c r="C4472" s="784"/>
    </row>
    <row r="4473" spans="3:3" x14ac:dyDescent="0.25">
      <c r="C4473" s="784"/>
    </row>
    <row r="4474" spans="3:3" x14ac:dyDescent="0.25">
      <c r="C4474" s="784"/>
    </row>
    <row r="4475" spans="3:3" x14ac:dyDescent="0.25">
      <c r="C4475" s="784"/>
    </row>
    <row r="4476" spans="3:3" x14ac:dyDescent="0.25">
      <c r="C4476" s="784"/>
    </row>
    <row r="4477" spans="3:3" x14ac:dyDescent="0.25">
      <c r="C4477" s="784"/>
    </row>
    <row r="4478" spans="3:3" x14ac:dyDescent="0.25">
      <c r="C4478" s="784"/>
    </row>
    <row r="4479" spans="3:3" x14ac:dyDescent="0.25">
      <c r="C4479" s="784"/>
    </row>
    <row r="4480" spans="3:3" x14ac:dyDescent="0.25">
      <c r="C4480" s="784"/>
    </row>
    <row r="4481" spans="3:3" x14ac:dyDescent="0.25">
      <c r="C4481" s="784"/>
    </row>
    <row r="4482" spans="3:3" x14ac:dyDescent="0.25">
      <c r="C4482" s="784"/>
    </row>
    <row r="4483" spans="3:3" x14ac:dyDescent="0.25">
      <c r="C4483" s="784"/>
    </row>
    <row r="4484" spans="3:3" x14ac:dyDescent="0.25">
      <c r="C4484" s="784"/>
    </row>
    <row r="4485" spans="3:3" x14ac:dyDescent="0.25">
      <c r="C4485" s="784"/>
    </row>
    <row r="4486" spans="3:3" x14ac:dyDescent="0.25">
      <c r="C4486" s="784"/>
    </row>
    <row r="4487" spans="3:3" x14ac:dyDescent="0.25">
      <c r="C4487" s="784"/>
    </row>
    <row r="4488" spans="3:3" x14ac:dyDescent="0.25">
      <c r="C4488" s="784"/>
    </row>
    <row r="4489" spans="3:3" x14ac:dyDescent="0.25">
      <c r="C4489" s="784"/>
    </row>
    <row r="4490" spans="3:3" x14ac:dyDescent="0.25">
      <c r="C4490" s="784"/>
    </row>
    <row r="4491" spans="3:3" x14ac:dyDescent="0.25">
      <c r="C4491" s="784"/>
    </row>
    <row r="4492" spans="3:3" x14ac:dyDescent="0.25">
      <c r="C4492" s="784"/>
    </row>
    <row r="4493" spans="3:3" x14ac:dyDescent="0.25">
      <c r="C4493" s="784"/>
    </row>
    <row r="4494" spans="3:3" x14ac:dyDescent="0.25">
      <c r="C4494" s="784"/>
    </row>
    <row r="4495" spans="3:3" x14ac:dyDescent="0.25">
      <c r="C4495" s="784"/>
    </row>
    <row r="4496" spans="3:3" x14ac:dyDescent="0.25">
      <c r="C4496" s="784"/>
    </row>
    <row r="4497" spans="3:3" x14ac:dyDescent="0.25">
      <c r="C4497" s="784"/>
    </row>
    <row r="4498" spans="3:3" x14ac:dyDescent="0.25">
      <c r="C4498" s="784"/>
    </row>
    <row r="4499" spans="3:3" x14ac:dyDescent="0.25">
      <c r="C4499" s="784"/>
    </row>
    <row r="4500" spans="3:3" x14ac:dyDescent="0.25">
      <c r="C4500" s="784"/>
    </row>
    <row r="4501" spans="3:3" x14ac:dyDescent="0.25">
      <c r="C4501" s="784"/>
    </row>
    <row r="4502" spans="3:3" x14ac:dyDescent="0.25">
      <c r="C4502" s="784"/>
    </row>
    <row r="4503" spans="3:3" x14ac:dyDescent="0.25">
      <c r="C4503" s="784"/>
    </row>
    <row r="4504" spans="3:3" x14ac:dyDescent="0.25">
      <c r="C4504" s="784"/>
    </row>
    <row r="4505" spans="3:3" x14ac:dyDescent="0.25">
      <c r="C4505" s="784"/>
    </row>
    <row r="4506" spans="3:3" x14ac:dyDescent="0.25">
      <c r="C4506" s="784"/>
    </row>
    <row r="4507" spans="3:3" x14ac:dyDescent="0.25">
      <c r="C4507" s="784"/>
    </row>
    <row r="4508" spans="3:3" x14ac:dyDescent="0.25">
      <c r="C4508" s="784"/>
    </row>
    <row r="4509" spans="3:3" x14ac:dyDescent="0.25">
      <c r="C4509" s="784"/>
    </row>
    <row r="4510" spans="3:3" x14ac:dyDescent="0.25">
      <c r="C4510" s="784"/>
    </row>
    <row r="4511" spans="3:3" x14ac:dyDescent="0.25">
      <c r="C4511" s="784"/>
    </row>
    <row r="4512" spans="3:3" x14ac:dyDescent="0.25">
      <c r="C4512" s="784"/>
    </row>
    <row r="4513" spans="3:3" x14ac:dyDescent="0.25">
      <c r="C4513" s="784"/>
    </row>
    <row r="4514" spans="3:3" x14ac:dyDescent="0.25">
      <c r="C4514" s="784"/>
    </row>
    <row r="4515" spans="3:3" x14ac:dyDescent="0.25">
      <c r="C4515" s="784"/>
    </row>
    <row r="4516" spans="3:3" x14ac:dyDescent="0.25">
      <c r="C4516" s="784"/>
    </row>
    <row r="4517" spans="3:3" x14ac:dyDescent="0.25">
      <c r="C4517" s="784"/>
    </row>
    <row r="4518" spans="3:3" x14ac:dyDescent="0.25">
      <c r="C4518" s="784"/>
    </row>
    <row r="4519" spans="3:3" x14ac:dyDescent="0.25">
      <c r="C4519" s="784"/>
    </row>
    <row r="4520" spans="3:3" x14ac:dyDescent="0.25">
      <c r="C4520" s="784"/>
    </row>
    <row r="4521" spans="3:3" x14ac:dyDescent="0.25">
      <c r="C4521" s="784"/>
    </row>
    <row r="4522" spans="3:3" x14ac:dyDescent="0.25">
      <c r="C4522" s="784"/>
    </row>
    <row r="4523" spans="3:3" x14ac:dyDescent="0.25">
      <c r="C4523" s="784"/>
    </row>
    <row r="4524" spans="3:3" x14ac:dyDescent="0.25">
      <c r="C4524" s="784"/>
    </row>
    <row r="4525" spans="3:3" x14ac:dyDescent="0.25">
      <c r="C4525" s="784"/>
    </row>
    <row r="4526" spans="3:3" x14ac:dyDescent="0.25">
      <c r="C4526" s="784"/>
    </row>
    <row r="4527" spans="3:3" x14ac:dyDescent="0.25">
      <c r="C4527" s="784"/>
    </row>
    <row r="4528" spans="3:3" x14ac:dyDescent="0.25">
      <c r="C4528" s="784"/>
    </row>
    <row r="4529" spans="3:3" x14ac:dyDescent="0.25">
      <c r="C4529" s="784"/>
    </row>
    <row r="4530" spans="3:3" x14ac:dyDescent="0.25">
      <c r="C4530" s="784"/>
    </row>
    <row r="4531" spans="3:3" x14ac:dyDescent="0.25">
      <c r="C4531" s="784"/>
    </row>
    <row r="4532" spans="3:3" x14ac:dyDescent="0.25">
      <c r="C4532" s="784"/>
    </row>
    <row r="4533" spans="3:3" x14ac:dyDescent="0.25">
      <c r="C4533" s="784"/>
    </row>
    <row r="4534" spans="3:3" x14ac:dyDescent="0.25">
      <c r="C4534" s="784"/>
    </row>
    <row r="4535" spans="3:3" x14ac:dyDescent="0.25">
      <c r="C4535" s="784"/>
    </row>
    <row r="4536" spans="3:3" x14ac:dyDescent="0.25">
      <c r="C4536" s="784"/>
    </row>
    <row r="4537" spans="3:3" x14ac:dyDescent="0.25">
      <c r="C4537" s="784"/>
    </row>
    <row r="4538" spans="3:3" x14ac:dyDescent="0.25">
      <c r="C4538" s="784"/>
    </row>
    <row r="4539" spans="3:3" x14ac:dyDescent="0.25">
      <c r="C4539" s="784"/>
    </row>
    <row r="4540" spans="3:3" x14ac:dyDescent="0.25">
      <c r="C4540" s="784"/>
    </row>
    <row r="4541" spans="3:3" x14ac:dyDescent="0.25">
      <c r="C4541" s="784"/>
    </row>
    <row r="4542" spans="3:3" x14ac:dyDescent="0.25">
      <c r="C4542" s="784"/>
    </row>
    <row r="4543" spans="3:3" x14ac:dyDescent="0.25">
      <c r="C4543" s="784"/>
    </row>
    <row r="4544" spans="3:3" x14ac:dyDescent="0.25">
      <c r="C4544" s="784"/>
    </row>
    <row r="4545" spans="3:3" x14ac:dyDescent="0.25">
      <c r="C4545" s="784"/>
    </row>
    <row r="4546" spans="3:3" x14ac:dyDescent="0.25">
      <c r="C4546" s="784"/>
    </row>
    <row r="4547" spans="3:3" x14ac:dyDescent="0.25">
      <c r="C4547" s="784"/>
    </row>
    <row r="4548" spans="3:3" x14ac:dyDescent="0.25">
      <c r="C4548" s="784"/>
    </row>
    <row r="4549" spans="3:3" x14ac:dyDescent="0.25">
      <c r="C4549" s="784"/>
    </row>
    <row r="4550" spans="3:3" x14ac:dyDescent="0.25">
      <c r="C4550" s="784"/>
    </row>
    <row r="4551" spans="3:3" x14ac:dyDescent="0.25">
      <c r="C4551" s="784"/>
    </row>
    <row r="4552" spans="3:3" x14ac:dyDescent="0.25">
      <c r="C4552" s="784"/>
    </row>
    <row r="4553" spans="3:3" x14ac:dyDescent="0.25">
      <c r="C4553" s="784"/>
    </row>
    <row r="4554" spans="3:3" x14ac:dyDescent="0.25">
      <c r="C4554" s="784"/>
    </row>
    <row r="4555" spans="3:3" x14ac:dyDescent="0.25">
      <c r="C4555" s="784"/>
    </row>
    <row r="4556" spans="3:3" x14ac:dyDescent="0.25">
      <c r="C4556" s="784"/>
    </row>
    <row r="4557" spans="3:3" x14ac:dyDescent="0.25">
      <c r="C4557" s="784"/>
    </row>
    <row r="4558" spans="3:3" x14ac:dyDescent="0.25">
      <c r="C4558" s="784"/>
    </row>
    <row r="4559" spans="3:3" x14ac:dyDescent="0.25">
      <c r="C4559" s="784"/>
    </row>
    <row r="4560" spans="3:3" x14ac:dyDescent="0.25">
      <c r="C4560" s="784"/>
    </row>
    <row r="4561" spans="3:3" x14ac:dyDescent="0.25">
      <c r="C4561" s="784"/>
    </row>
    <row r="4562" spans="3:3" x14ac:dyDescent="0.25">
      <c r="C4562" s="784"/>
    </row>
    <row r="4563" spans="3:3" x14ac:dyDescent="0.25">
      <c r="C4563" s="784"/>
    </row>
    <row r="4564" spans="3:3" x14ac:dyDescent="0.25">
      <c r="C4564" s="784"/>
    </row>
    <row r="4565" spans="3:3" x14ac:dyDescent="0.25">
      <c r="C4565" s="784"/>
    </row>
    <row r="4566" spans="3:3" x14ac:dyDescent="0.25">
      <c r="C4566" s="784"/>
    </row>
    <row r="4567" spans="3:3" x14ac:dyDescent="0.25">
      <c r="C4567" s="784"/>
    </row>
    <row r="4568" spans="3:3" x14ac:dyDescent="0.25">
      <c r="C4568" s="784"/>
    </row>
    <row r="4569" spans="3:3" x14ac:dyDescent="0.25">
      <c r="C4569" s="784"/>
    </row>
    <row r="4570" spans="3:3" x14ac:dyDescent="0.25">
      <c r="C4570" s="784"/>
    </row>
    <row r="4571" spans="3:3" x14ac:dyDescent="0.25">
      <c r="C4571" s="784"/>
    </row>
    <row r="4572" spans="3:3" x14ac:dyDescent="0.25">
      <c r="C4572" s="784"/>
    </row>
    <row r="4573" spans="3:3" x14ac:dyDescent="0.25">
      <c r="C4573" s="784"/>
    </row>
    <row r="4574" spans="3:3" x14ac:dyDescent="0.25">
      <c r="C4574" s="784"/>
    </row>
    <row r="4575" spans="3:3" x14ac:dyDescent="0.25">
      <c r="C4575" s="784"/>
    </row>
    <row r="4576" spans="3:3" x14ac:dyDescent="0.25">
      <c r="C4576" s="784"/>
    </row>
    <row r="4577" spans="3:3" x14ac:dyDescent="0.25">
      <c r="C4577" s="784"/>
    </row>
    <row r="4578" spans="3:3" x14ac:dyDescent="0.25">
      <c r="C4578" s="784"/>
    </row>
    <row r="4579" spans="3:3" x14ac:dyDescent="0.25">
      <c r="C4579" s="784"/>
    </row>
    <row r="4580" spans="3:3" x14ac:dyDescent="0.25">
      <c r="C4580" s="784"/>
    </row>
    <row r="4581" spans="3:3" x14ac:dyDescent="0.25">
      <c r="C4581" s="784"/>
    </row>
    <row r="4582" spans="3:3" x14ac:dyDescent="0.25">
      <c r="C4582" s="784"/>
    </row>
    <row r="4583" spans="3:3" x14ac:dyDescent="0.25">
      <c r="C4583" s="784"/>
    </row>
    <row r="4584" spans="3:3" x14ac:dyDescent="0.25">
      <c r="C4584" s="784"/>
    </row>
    <row r="4585" spans="3:3" x14ac:dyDescent="0.25">
      <c r="C4585" s="784"/>
    </row>
    <row r="4586" spans="3:3" x14ac:dyDescent="0.25">
      <c r="C4586" s="784"/>
    </row>
    <row r="4587" spans="3:3" x14ac:dyDescent="0.25">
      <c r="C4587" s="784"/>
    </row>
    <row r="4588" spans="3:3" x14ac:dyDescent="0.25">
      <c r="C4588" s="784"/>
    </row>
    <row r="4589" spans="3:3" x14ac:dyDescent="0.25">
      <c r="C4589" s="784"/>
    </row>
    <row r="4590" spans="3:3" x14ac:dyDescent="0.25">
      <c r="C4590" s="784"/>
    </row>
    <row r="4591" spans="3:3" x14ac:dyDescent="0.25">
      <c r="C4591" s="784"/>
    </row>
    <row r="4592" spans="3:3" x14ac:dyDescent="0.25">
      <c r="C4592" s="784"/>
    </row>
    <row r="4593" spans="3:3" x14ac:dyDescent="0.25">
      <c r="C4593" s="784"/>
    </row>
    <row r="4594" spans="3:3" x14ac:dyDescent="0.25">
      <c r="C4594" s="784"/>
    </row>
    <row r="4595" spans="3:3" x14ac:dyDescent="0.25">
      <c r="C4595" s="784"/>
    </row>
    <row r="4596" spans="3:3" x14ac:dyDescent="0.25">
      <c r="C4596" s="784"/>
    </row>
    <row r="4597" spans="3:3" x14ac:dyDescent="0.25">
      <c r="C4597" s="784"/>
    </row>
    <row r="4598" spans="3:3" x14ac:dyDescent="0.25">
      <c r="C4598" s="784"/>
    </row>
    <row r="4599" spans="3:3" x14ac:dyDescent="0.25">
      <c r="C4599" s="784"/>
    </row>
    <row r="4600" spans="3:3" x14ac:dyDescent="0.25">
      <c r="C4600" s="784"/>
    </row>
    <row r="4601" spans="3:3" x14ac:dyDescent="0.25">
      <c r="C4601" s="784"/>
    </row>
    <row r="4602" spans="3:3" x14ac:dyDescent="0.25">
      <c r="C4602" s="784"/>
    </row>
    <row r="4603" spans="3:3" x14ac:dyDescent="0.25">
      <c r="C4603" s="784"/>
    </row>
    <row r="4604" spans="3:3" x14ac:dyDescent="0.25">
      <c r="C4604" s="784"/>
    </row>
    <row r="4605" spans="3:3" x14ac:dyDescent="0.25">
      <c r="C4605" s="784"/>
    </row>
    <row r="4606" spans="3:3" x14ac:dyDescent="0.25">
      <c r="C4606" s="784"/>
    </row>
    <row r="4607" spans="3:3" x14ac:dyDescent="0.25">
      <c r="C4607" s="784"/>
    </row>
    <row r="4608" spans="3:3" x14ac:dyDescent="0.25">
      <c r="C4608" s="784"/>
    </row>
    <row r="4609" spans="3:3" x14ac:dyDescent="0.25">
      <c r="C4609" s="784"/>
    </row>
    <row r="4610" spans="3:3" x14ac:dyDescent="0.25">
      <c r="C4610" s="784"/>
    </row>
    <row r="4611" spans="3:3" x14ac:dyDescent="0.25">
      <c r="C4611" s="784"/>
    </row>
    <row r="4612" spans="3:3" x14ac:dyDescent="0.25">
      <c r="C4612" s="784"/>
    </row>
    <row r="4613" spans="3:3" x14ac:dyDescent="0.25">
      <c r="C4613" s="784"/>
    </row>
    <row r="4614" spans="3:3" x14ac:dyDescent="0.25">
      <c r="C4614" s="784"/>
    </row>
    <row r="4615" spans="3:3" x14ac:dyDescent="0.25">
      <c r="C4615" s="784"/>
    </row>
    <row r="4616" spans="3:3" x14ac:dyDescent="0.25">
      <c r="C4616" s="784"/>
    </row>
    <row r="4617" spans="3:3" x14ac:dyDescent="0.25">
      <c r="C4617" s="784"/>
    </row>
    <row r="4618" spans="3:3" x14ac:dyDescent="0.25">
      <c r="C4618" s="784"/>
    </row>
    <row r="4619" spans="3:3" x14ac:dyDescent="0.25">
      <c r="C4619" s="784"/>
    </row>
    <row r="4620" spans="3:3" x14ac:dyDescent="0.25">
      <c r="C4620" s="784"/>
    </row>
    <row r="4621" spans="3:3" x14ac:dyDescent="0.25">
      <c r="C4621" s="784"/>
    </row>
    <row r="4622" spans="3:3" x14ac:dyDescent="0.25">
      <c r="C4622" s="784"/>
    </row>
    <row r="4623" spans="3:3" x14ac:dyDescent="0.25">
      <c r="C4623" s="784"/>
    </row>
    <row r="4624" spans="3:3" x14ac:dyDescent="0.25">
      <c r="C4624" s="784"/>
    </row>
    <row r="4625" spans="3:3" x14ac:dyDescent="0.25">
      <c r="C4625" s="784"/>
    </row>
    <row r="4626" spans="3:3" x14ac:dyDescent="0.25">
      <c r="C4626" s="784"/>
    </row>
    <row r="4627" spans="3:3" x14ac:dyDescent="0.25">
      <c r="C4627" s="784"/>
    </row>
    <row r="4628" spans="3:3" x14ac:dyDescent="0.25">
      <c r="C4628" s="784"/>
    </row>
    <row r="4629" spans="3:3" x14ac:dyDescent="0.25">
      <c r="C4629" s="784"/>
    </row>
    <row r="4630" spans="3:3" x14ac:dyDescent="0.25">
      <c r="C4630" s="784"/>
    </row>
    <row r="4631" spans="3:3" x14ac:dyDescent="0.25">
      <c r="C4631" s="784"/>
    </row>
    <row r="4632" spans="3:3" x14ac:dyDescent="0.25">
      <c r="C4632" s="784"/>
    </row>
    <row r="4633" spans="3:3" x14ac:dyDescent="0.25">
      <c r="C4633" s="784"/>
    </row>
    <row r="4634" spans="3:3" x14ac:dyDescent="0.25">
      <c r="C4634" s="784"/>
    </row>
    <row r="4635" spans="3:3" x14ac:dyDescent="0.25">
      <c r="C4635" s="784"/>
    </row>
    <row r="4636" spans="3:3" x14ac:dyDescent="0.25">
      <c r="C4636" s="784"/>
    </row>
    <row r="4637" spans="3:3" x14ac:dyDescent="0.25">
      <c r="C4637" s="784"/>
    </row>
    <row r="4638" spans="3:3" x14ac:dyDescent="0.25">
      <c r="C4638" s="784"/>
    </row>
    <row r="4639" spans="3:3" x14ac:dyDescent="0.25">
      <c r="C4639" s="784"/>
    </row>
    <row r="4640" spans="3:3" x14ac:dyDescent="0.25">
      <c r="C4640" s="784"/>
    </row>
    <row r="4641" spans="3:3" x14ac:dyDescent="0.25">
      <c r="C4641" s="784"/>
    </row>
    <row r="4642" spans="3:3" x14ac:dyDescent="0.25">
      <c r="C4642" s="784"/>
    </row>
    <row r="4643" spans="3:3" x14ac:dyDescent="0.25">
      <c r="C4643" s="784"/>
    </row>
    <row r="4644" spans="3:3" x14ac:dyDescent="0.25">
      <c r="C4644" s="784"/>
    </row>
    <row r="4645" spans="3:3" x14ac:dyDescent="0.25">
      <c r="C4645" s="784"/>
    </row>
    <row r="4646" spans="3:3" x14ac:dyDescent="0.25">
      <c r="C4646" s="784"/>
    </row>
    <row r="4647" spans="3:3" x14ac:dyDescent="0.25">
      <c r="C4647" s="784"/>
    </row>
    <row r="4648" spans="3:3" x14ac:dyDescent="0.25">
      <c r="C4648" s="784"/>
    </row>
    <row r="4649" spans="3:3" x14ac:dyDescent="0.25">
      <c r="C4649" s="784"/>
    </row>
    <row r="4650" spans="3:3" x14ac:dyDescent="0.25">
      <c r="C4650" s="784"/>
    </row>
    <row r="4651" spans="3:3" x14ac:dyDescent="0.25">
      <c r="C4651" s="784"/>
    </row>
    <row r="4652" spans="3:3" x14ac:dyDescent="0.25">
      <c r="C4652" s="784"/>
    </row>
    <row r="4653" spans="3:3" x14ac:dyDescent="0.25">
      <c r="C4653" s="784"/>
    </row>
    <row r="4654" spans="3:3" x14ac:dyDescent="0.25">
      <c r="C4654" s="784"/>
    </row>
    <row r="4655" spans="3:3" x14ac:dyDescent="0.25">
      <c r="C4655" s="784"/>
    </row>
    <row r="4656" spans="3:3" x14ac:dyDescent="0.25">
      <c r="C4656" s="784"/>
    </row>
    <row r="4657" spans="3:3" x14ac:dyDescent="0.25">
      <c r="C4657" s="784"/>
    </row>
    <row r="4658" spans="3:3" x14ac:dyDescent="0.25">
      <c r="C4658" s="784"/>
    </row>
    <row r="4659" spans="3:3" x14ac:dyDescent="0.25">
      <c r="C4659" s="784"/>
    </row>
    <row r="4660" spans="3:3" x14ac:dyDescent="0.25">
      <c r="C4660" s="784"/>
    </row>
    <row r="4661" spans="3:3" x14ac:dyDescent="0.25">
      <c r="C4661" s="784"/>
    </row>
    <row r="4662" spans="3:3" x14ac:dyDescent="0.25">
      <c r="C4662" s="784"/>
    </row>
    <row r="4663" spans="3:3" x14ac:dyDescent="0.25">
      <c r="C4663" s="784"/>
    </row>
    <row r="4664" spans="3:3" x14ac:dyDescent="0.25">
      <c r="C4664" s="784"/>
    </row>
    <row r="4665" spans="3:3" x14ac:dyDescent="0.25">
      <c r="C4665" s="784"/>
    </row>
    <row r="4666" spans="3:3" x14ac:dyDescent="0.25">
      <c r="C4666" s="784"/>
    </row>
    <row r="4667" spans="3:3" x14ac:dyDescent="0.25">
      <c r="C4667" s="784"/>
    </row>
    <row r="4668" spans="3:3" x14ac:dyDescent="0.25">
      <c r="C4668" s="784"/>
    </row>
    <row r="4669" spans="3:3" x14ac:dyDescent="0.25">
      <c r="C4669" s="784"/>
    </row>
    <row r="4670" spans="3:3" x14ac:dyDescent="0.25">
      <c r="C4670" s="784"/>
    </row>
    <row r="4671" spans="3:3" x14ac:dyDescent="0.25">
      <c r="C4671" s="784"/>
    </row>
    <row r="4672" spans="3:3" x14ac:dyDescent="0.25">
      <c r="C4672" s="784"/>
    </row>
    <row r="4673" spans="3:3" x14ac:dyDescent="0.25">
      <c r="C4673" s="784"/>
    </row>
    <row r="4674" spans="3:3" x14ac:dyDescent="0.25">
      <c r="C4674" s="784"/>
    </row>
    <row r="4675" spans="3:3" x14ac:dyDescent="0.25">
      <c r="C4675" s="784"/>
    </row>
    <row r="4676" spans="3:3" x14ac:dyDescent="0.25">
      <c r="C4676" s="784"/>
    </row>
    <row r="4677" spans="3:3" x14ac:dyDescent="0.25">
      <c r="C4677" s="784"/>
    </row>
    <row r="4678" spans="3:3" x14ac:dyDescent="0.25">
      <c r="C4678" s="784"/>
    </row>
    <row r="4679" spans="3:3" x14ac:dyDescent="0.25">
      <c r="C4679" s="784"/>
    </row>
    <row r="4680" spans="3:3" x14ac:dyDescent="0.25">
      <c r="C4680" s="784"/>
    </row>
    <row r="4681" spans="3:3" x14ac:dyDescent="0.25">
      <c r="C4681" s="784"/>
    </row>
    <row r="4682" spans="3:3" x14ac:dyDescent="0.25">
      <c r="C4682" s="784"/>
    </row>
    <row r="4683" spans="3:3" x14ac:dyDescent="0.25">
      <c r="C4683" s="784"/>
    </row>
    <row r="4684" spans="3:3" x14ac:dyDescent="0.25">
      <c r="C4684" s="784"/>
    </row>
    <row r="4685" spans="3:3" x14ac:dyDescent="0.25">
      <c r="C4685" s="784"/>
    </row>
    <row r="4686" spans="3:3" x14ac:dyDescent="0.25">
      <c r="C4686" s="784"/>
    </row>
    <row r="4687" spans="3:3" x14ac:dyDescent="0.25">
      <c r="C4687" s="784"/>
    </row>
    <row r="4688" spans="3:3" x14ac:dyDescent="0.25">
      <c r="C4688" s="784"/>
    </row>
    <row r="4689" spans="3:3" x14ac:dyDescent="0.25">
      <c r="C4689" s="784"/>
    </row>
    <row r="4690" spans="3:3" x14ac:dyDescent="0.25">
      <c r="C4690" s="784"/>
    </row>
    <row r="4691" spans="3:3" x14ac:dyDescent="0.25">
      <c r="C4691" s="784"/>
    </row>
    <row r="4692" spans="3:3" x14ac:dyDescent="0.25">
      <c r="C4692" s="784"/>
    </row>
    <row r="4693" spans="3:3" x14ac:dyDescent="0.25">
      <c r="C4693" s="784"/>
    </row>
    <row r="4694" spans="3:3" x14ac:dyDescent="0.25">
      <c r="C4694" s="784"/>
    </row>
    <row r="4695" spans="3:3" x14ac:dyDescent="0.25">
      <c r="C4695" s="784"/>
    </row>
    <row r="4696" spans="3:3" x14ac:dyDescent="0.25">
      <c r="C4696" s="784"/>
    </row>
    <row r="4697" spans="3:3" x14ac:dyDescent="0.25">
      <c r="C4697" s="784"/>
    </row>
    <row r="4698" spans="3:3" x14ac:dyDescent="0.25">
      <c r="C4698" s="784"/>
    </row>
    <row r="4699" spans="3:3" x14ac:dyDescent="0.25">
      <c r="C4699" s="784"/>
    </row>
    <row r="4700" spans="3:3" x14ac:dyDescent="0.25">
      <c r="C4700" s="784"/>
    </row>
    <row r="4701" spans="3:3" x14ac:dyDescent="0.25">
      <c r="C4701" s="784"/>
    </row>
    <row r="4702" spans="3:3" x14ac:dyDescent="0.25">
      <c r="C4702" s="784"/>
    </row>
    <row r="4703" spans="3:3" x14ac:dyDescent="0.25">
      <c r="C4703" s="784"/>
    </row>
    <row r="4704" spans="3:3" x14ac:dyDescent="0.25">
      <c r="C4704" s="784"/>
    </row>
    <row r="4705" spans="3:3" x14ac:dyDescent="0.25">
      <c r="C4705" s="784"/>
    </row>
    <row r="4706" spans="3:3" x14ac:dyDescent="0.25">
      <c r="C4706" s="784"/>
    </row>
    <row r="4707" spans="3:3" x14ac:dyDescent="0.25">
      <c r="C4707" s="784"/>
    </row>
    <row r="4708" spans="3:3" x14ac:dyDescent="0.25">
      <c r="C4708" s="784"/>
    </row>
    <row r="4709" spans="3:3" x14ac:dyDescent="0.25">
      <c r="C4709" s="784"/>
    </row>
    <row r="4710" spans="3:3" x14ac:dyDescent="0.25">
      <c r="C4710" s="784"/>
    </row>
    <row r="4711" spans="3:3" x14ac:dyDescent="0.25">
      <c r="C4711" s="784"/>
    </row>
    <row r="4712" spans="3:3" x14ac:dyDescent="0.25">
      <c r="C4712" s="784"/>
    </row>
    <row r="4713" spans="3:3" x14ac:dyDescent="0.25">
      <c r="C4713" s="784"/>
    </row>
    <row r="4714" spans="3:3" x14ac:dyDescent="0.25">
      <c r="C4714" s="784"/>
    </row>
    <row r="4715" spans="3:3" x14ac:dyDescent="0.25">
      <c r="C4715" s="784"/>
    </row>
    <row r="4716" spans="3:3" x14ac:dyDescent="0.25">
      <c r="C4716" s="784"/>
    </row>
    <row r="4717" spans="3:3" x14ac:dyDescent="0.25">
      <c r="C4717" s="784"/>
    </row>
    <row r="4718" spans="3:3" x14ac:dyDescent="0.25">
      <c r="C4718" s="784"/>
    </row>
    <row r="4719" spans="3:3" x14ac:dyDescent="0.25">
      <c r="C4719" s="784"/>
    </row>
    <row r="4720" spans="3:3" x14ac:dyDescent="0.25">
      <c r="C4720" s="784"/>
    </row>
    <row r="4721" spans="3:3" x14ac:dyDescent="0.25">
      <c r="C4721" s="784"/>
    </row>
    <row r="4722" spans="3:3" x14ac:dyDescent="0.25">
      <c r="C4722" s="784"/>
    </row>
    <row r="4723" spans="3:3" x14ac:dyDescent="0.25">
      <c r="C4723" s="784"/>
    </row>
    <row r="4724" spans="3:3" x14ac:dyDescent="0.25">
      <c r="C4724" s="784"/>
    </row>
    <row r="4725" spans="3:3" x14ac:dyDescent="0.25">
      <c r="C4725" s="784"/>
    </row>
    <row r="4726" spans="3:3" x14ac:dyDescent="0.25">
      <c r="C4726" s="784"/>
    </row>
    <row r="4727" spans="3:3" x14ac:dyDescent="0.25">
      <c r="C4727" s="784"/>
    </row>
    <row r="4728" spans="3:3" x14ac:dyDescent="0.25">
      <c r="C4728" s="784"/>
    </row>
    <row r="4729" spans="3:3" x14ac:dyDescent="0.25">
      <c r="C4729" s="784"/>
    </row>
    <row r="4730" spans="3:3" x14ac:dyDescent="0.25">
      <c r="C4730" s="784"/>
    </row>
    <row r="4731" spans="3:3" x14ac:dyDescent="0.25">
      <c r="C4731" s="784"/>
    </row>
    <row r="4732" spans="3:3" x14ac:dyDescent="0.25">
      <c r="C4732" s="784"/>
    </row>
    <row r="4733" spans="3:3" x14ac:dyDescent="0.25">
      <c r="C4733" s="784"/>
    </row>
    <row r="4734" spans="3:3" x14ac:dyDescent="0.25">
      <c r="C4734" s="784"/>
    </row>
    <row r="4735" spans="3:3" x14ac:dyDescent="0.25">
      <c r="C4735" s="784"/>
    </row>
    <row r="4736" spans="3:3" x14ac:dyDescent="0.25">
      <c r="C4736" s="784"/>
    </row>
    <row r="4737" spans="3:3" x14ac:dyDescent="0.25">
      <c r="C4737" s="784"/>
    </row>
    <row r="4738" spans="3:3" x14ac:dyDescent="0.25">
      <c r="C4738" s="784"/>
    </row>
    <row r="4739" spans="3:3" x14ac:dyDescent="0.25">
      <c r="C4739" s="784"/>
    </row>
    <row r="4740" spans="3:3" x14ac:dyDescent="0.25">
      <c r="C4740" s="784"/>
    </row>
    <row r="4741" spans="3:3" x14ac:dyDescent="0.25">
      <c r="C4741" s="784"/>
    </row>
    <row r="4742" spans="3:3" x14ac:dyDescent="0.25">
      <c r="C4742" s="784"/>
    </row>
    <row r="4743" spans="3:3" x14ac:dyDescent="0.25">
      <c r="C4743" s="784"/>
    </row>
    <row r="4744" spans="3:3" x14ac:dyDescent="0.25">
      <c r="C4744" s="784"/>
    </row>
    <row r="4745" spans="3:3" x14ac:dyDescent="0.25">
      <c r="C4745" s="784"/>
    </row>
    <row r="4746" spans="3:3" x14ac:dyDescent="0.25">
      <c r="C4746" s="784"/>
    </row>
    <row r="4747" spans="3:3" x14ac:dyDescent="0.25">
      <c r="C4747" s="784"/>
    </row>
    <row r="4748" spans="3:3" x14ac:dyDescent="0.25">
      <c r="C4748" s="784"/>
    </row>
    <row r="4749" spans="3:3" x14ac:dyDescent="0.25">
      <c r="C4749" s="784"/>
    </row>
    <row r="4750" spans="3:3" x14ac:dyDescent="0.25">
      <c r="C4750" s="784"/>
    </row>
    <row r="4751" spans="3:3" x14ac:dyDescent="0.25">
      <c r="C4751" s="784"/>
    </row>
    <row r="4752" spans="3:3" x14ac:dyDescent="0.25">
      <c r="C4752" s="784"/>
    </row>
    <row r="4753" spans="3:3" x14ac:dyDescent="0.25">
      <c r="C4753" s="784"/>
    </row>
    <row r="4754" spans="3:3" x14ac:dyDescent="0.25">
      <c r="C4754" s="784"/>
    </row>
    <row r="4755" spans="3:3" x14ac:dyDescent="0.25">
      <c r="C4755" s="784"/>
    </row>
    <row r="4756" spans="3:3" x14ac:dyDescent="0.25">
      <c r="C4756" s="784"/>
    </row>
    <row r="4757" spans="3:3" x14ac:dyDescent="0.25">
      <c r="C4757" s="784"/>
    </row>
    <row r="4758" spans="3:3" x14ac:dyDescent="0.25">
      <c r="C4758" s="784"/>
    </row>
    <row r="4759" spans="3:3" x14ac:dyDescent="0.25">
      <c r="C4759" s="784"/>
    </row>
    <row r="4760" spans="3:3" x14ac:dyDescent="0.25">
      <c r="C4760" s="784"/>
    </row>
    <row r="4761" spans="3:3" x14ac:dyDescent="0.25">
      <c r="C4761" s="784"/>
    </row>
    <row r="4762" spans="3:3" x14ac:dyDescent="0.25">
      <c r="C4762" s="784"/>
    </row>
    <row r="4763" spans="3:3" x14ac:dyDescent="0.25">
      <c r="C4763" s="784"/>
    </row>
    <row r="4764" spans="3:3" x14ac:dyDescent="0.25">
      <c r="C4764" s="784"/>
    </row>
    <row r="4765" spans="3:3" x14ac:dyDescent="0.25">
      <c r="C4765" s="784"/>
    </row>
    <row r="4766" spans="3:3" x14ac:dyDescent="0.25">
      <c r="C4766" s="784"/>
    </row>
    <row r="4767" spans="3:3" x14ac:dyDescent="0.25">
      <c r="C4767" s="784"/>
    </row>
    <row r="4768" spans="3:3" x14ac:dyDescent="0.25">
      <c r="C4768" s="784"/>
    </row>
    <row r="4769" spans="3:3" x14ac:dyDescent="0.25">
      <c r="C4769" s="784"/>
    </row>
    <row r="4770" spans="3:3" x14ac:dyDescent="0.25">
      <c r="C4770" s="784"/>
    </row>
    <row r="4771" spans="3:3" x14ac:dyDescent="0.25">
      <c r="C4771" s="784"/>
    </row>
    <row r="4772" spans="3:3" x14ac:dyDescent="0.25">
      <c r="C4772" s="784"/>
    </row>
    <row r="4773" spans="3:3" x14ac:dyDescent="0.25">
      <c r="C4773" s="784"/>
    </row>
    <row r="4774" spans="3:3" x14ac:dyDescent="0.25">
      <c r="C4774" s="784"/>
    </row>
    <row r="4775" spans="3:3" x14ac:dyDescent="0.25">
      <c r="C4775" s="784"/>
    </row>
    <row r="4776" spans="3:3" x14ac:dyDescent="0.25">
      <c r="C4776" s="784"/>
    </row>
    <row r="4777" spans="3:3" x14ac:dyDescent="0.25">
      <c r="C4777" s="784"/>
    </row>
    <row r="4778" spans="3:3" x14ac:dyDescent="0.25">
      <c r="C4778" s="784"/>
    </row>
    <row r="4779" spans="3:3" x14ac:dyDescent="0.25">
      <c r="C4779" s="784"/>
    </row>
    <row r="4780" spans="3:3" x14ac:dyDescent="0.25">
      <c r="C4780" s="784"/>
    </row>
    <row r="4781" spans="3:3" x14ac:dyDescent="0.25">
      <c r="C4781" s="784"/>
    </row>
    <row r="4782" spans="3:3" x14ac:dyDescent="0.25">
      <c r="C4782" s="784"/>
    </row>
    <row r="4783" spans="3:3" x14ac:dyDescent="0.25">
      <c r="C4783" s="784"/>
    </row>
    <row r="4784" spans="3:3" x14ac:dyDescent="0.25">
      <c r="C4784" s="784"/>
    </row>
    <row r="4785" spans="3:3" x14ac:dyDescent="0.25">
      <c r="C4785" s="784"/>
    </row>
    <row r="4786" spans="3:3" x14ac:dyDescent="0.25">
      <c r="C4786" s="784"/>
    </row>
    <row r="4787" spans="3:3" x14ac:dyDescent="0.25">
      <c r="C4787" s="784"/>
    </row>
    <row r="4788" spans="3:3" x14ac:dyDescent="0.25">
      <c r="C4788" s="784"/>
    </row>
    <row r="4789" spans="3:3" x14ac:dyDescent="0.25">
      <c r="C4789" s="784"/>
    </row>
    <row r="4790" spans="3:3" x14ac:dyDescent="0.25">
      <c r="C4790" s="784"/>
    </row>
    <row r="4791" spans="3:3" x14ac:dyDescent="0.25">
      <c r="C4791" s="784"/>
    </row>
    <row r="4792" spans="3:3" x14ac:dyDescent="0.25">
      <c r="C4792" s="784"/>
    </row>
    <row r="4793" spans="3:3" x14ac:dyDescent="0.25">
      <c r="C4793" s="784"/>
    </row>
    <row r="4794" spans="3:3" x14ac:dyDescent="0.25">
      <c r="C4794" s="784"/>
    </row>
    <row r="4795" spans="3:3" x14ac:dyDescent="0.25">
      <c r="C4795" s="784"/>
    </row>
    <row r="4796" spans="3:3" x14ac:dyDescent="0.25">
      <c r="C4796" s="784"/>
    </row>
    <row r="4797" spans="3:3" x14ac:dyDescent="0.25">
      <c r="C4797" s="784"/>
    </row>
    <row r="4798" spans="3:3" x14ac:dyDescent="0.25">
      <c r="C4798" s="784"/>
    </row>
    <row r="4799" spans="3:3" x14ac:dyDescent="0.25">
      <c r="C4799" s="784"/>
    </row>
    <row r="4800" spans="3:3" x14ac:dyDescent="0.25">
      <c r="C4800" s="784"/>
    </row>
    <row r="4801" spans="3:3" x14ac:dyDescent="0.25">
      <c r="C4801" s="784"/>
    </row>
    <row r="4802" spans="3:3" x14ac:dyDescent="0.25">
      <c r="C4802" s="784"/>
    </row>
    <row r="4803" spans="3:3" x14ac:dyDescent="0.25">
      <c r="C4803" s="784"/>
    </row>
    <row r="4804" spans="3:3" x14ac:dyDescent="0.25">
      <c r="C4804" s="784"/>
    </row>
    <row r="4805" spans="3:3" x14ac:dyDescent="0.25">
      <c r="C4805" s="784"/>
    </row>
    <row r="4806" spans="3:3" x14ac:dyDescent="0.25">
      <c r="C4806" s="784"/>
    </row>
    <row r="4807" spans="3:3" x14ac:dyDescent="0.25">
      <c r="C4807" s="784"/>
    </row>
    <row r="4808" spans="3:3" x14ac:dyDescent="0.25">
      <c r="C4808" s="784"/>
    </row>
    <row r="4809" spans="3:3" x14ac:dyDescent="0.25">
      <c r="C4809" s="784"/>
    </row>
    <row r="4810" spans="3:3" x14ac:dyDescent="0.25">
      <c r="C4810" s="784"/>
    </row>
    <row r="4811" spans="3:3" x14ac:dyDescent="0.25">
      <c r="C4811" s="784"/>
    </row>
    <row r="4812" spans="3:3" x14ac:dyDescent="0.25">
      <c r="C4812" s="784"/>
    </row>
    <row r="4813" spans="3:3" x14ac:dyDescent="0.25">
      <c r="C4813" s="784"/>
    </row>
    <row r="4814" spans="3:3" x14ac:dyDescent="0.25">
      <c r="C4814" s="784"/>
    </row>
    <row r="4815" spans="3:3" x14ac:dyDescent="0.25">
      <c r="C4815" s="784"/>
    </row>
    <row r="4816" spans="3:3" x14ac:dyDescent="0.25">
      <c r="C4816" s="784"/>
    </row>
    <row r="4817" spans="3:3" x14ac:dyDescent="0.25">
      <c r="C4817" s="784"/>
    </row>
    <row r="4818" spans="3:3" x14ac:dyDescent="0.25">
      <c r="C4818" s="784"/>
    </row>
    <row r="4819" spans="3:3" x14ac:dyDescent="0.25">
      <c r="C4819" s="784"/>
    </row>
    <row r="4820" spans="3:3" x14ac:dyDescent="0.25">
      <c r="C4820" s="784"/>
    </row>
    <row r="4821" spans="3:3" x14ac:dyDescent="0.25">
      <c r="C4821" s="784"/>
    </row>
    <row r="4822" spans="3:3" x14ac:dyDescent="0.25">
      <c r="C4822" s="784"/>
    </row>
    <row r="4823" spans="3:3" x14ac:dyDescent="0.25">
      <c r="C4823" s="784"/>
    </row>
    <row r="4824" spans="3:3" x14ac:dyDescent="0.25">
      <c r="C4824" s="784"/>
    </row>
    <row r="4825" spans="3:3" x14ac:dyDescent="0.25">
      <c r="C4825" s="784"/>
    </row>
    <row r="4826" spans="3:3" x14ac:dyDescent="0.25">
      <c r="C4826" s="784"/>
    </row>
    <row r="4827" spans="3:3" x14ac:dyDescent="0.25">
      <c r="C4827" s="784"/>
    </row>
    <row r="4828" spans="3:3" x14ac:dyDescent="0.25">
      <c r="C4828" s="784"/>
    </row>
    <row r="4829" spans="3:3" x14ac:dyDescent="0.25">
      <c r="C4829" s="784"/>
    </row>
    <row r="4830" spans="3:3" x14ac:dyDescent="0.25">
      <c r="C4830" s="784"/>
    </row>
    <row r="4831" spans="3:3" x14ac:dyDescent="0.25">
      <c r="C4831" s="784"/>
    </row>
    <row r="4832" spans="3:3" x14ac:dyDescent="0.25">
      <c r="C4832" s="784"/>
    </row>
    <row r="4833" spans="3:3" x14ac:dyDescent="0.25">
      <c r="C4833" s="784"/>
    </row>
    <row r="4834" spans="3:3" x14ac:dyDescent="0.25">
      <c r="C4834" s="784"/>
    </row>
    <row r="4835" spans="3:3" x14ac:dyDescent="0.25">
      <c r="C4835" s="784"/>
    </row>
    <row r="4836" spans="3:3" x14ac:dyDescent="0.25">
      <c r="C4836" s="784"/>
    </row>
    <row r="4837" spans="3:3" x14ac:dyDescent="0.25">
      <c r="C4837" s="784"/>
    </row>
    <row r="4838" spans="3:3" x14ac:dyDescent="0.25">
      <c r="C4838" s="784"/>
    </row>
    <row r="4839" spans="3:3" x14ac:dyDescent="0.25">
      <c r="C4839" s="784"/>
    </row>
    <row r="4840" spans="3:3" x14ac:dyDescent="0.25">
      <c r="C4840" s="784"/>
    </row>
    <row r="4841" spans="3:3" x14ac:dyDescent="0.25">
      <c r="C4841" s="784"/>
    </row>
    <row r="4842" spans="3:3" x14ac:dyDescent="0.25">
      <c r="C4842" s="784"/>
    </row>
    <row r="4843" spans="3:3" x14ac:dyDescent="0.25">
      <c r="C4843" s="784"/>
    </row>
    <row r="4844" spans="3:3" x14ac:dyDescent="0.25">
      <c r="C4844" s="784"/>
    </row>
    <row r="4845" spans="3:3" x14ac:dyDescent="0.25">
      <c r="C4845" s="784"/>
    </row>
    <row r="4846" spans="3:3" x14ac:dyDescent="0.25">
      <c r="C4846" s="784"/>
    </row>
    <row r="4847" spans="3:3" x14ac:dyDescent="0.25">
      <c r="C4847" s="784"/>
    </row>
    <row r="4848" spans="3:3" x14ac:dyDescent="0.25">
      <c r="C4848" s="784"/>
    </row>
    <row r="4849" spans="3:3" x14ac:dyDescent="0.25">
      <c r="C4849" s="784"/>
    </row>
    <row r="4850" spans="3:3" x14ac:dyDescent="0.25">
      <c r="C4850" s="784"/>
    </row>
    <row r="4851" spans="3:3" x14ac:dyDescent="0.25">
      <c r="C4851" s="784"/>
    </row>
    <row r="4852" spans="3:3" x14ac:dyDescent="0.25">
      <c r="C4852" s="784"/>
    </row>
    <row r="4853" spans="3:3" x14ac:dyDescent="0.25">
      <c r="C4853" s="784"/>
    </row>
    <row r="4854" spans="3:3" x14ac:dyDescent="0.25">
      <c r="C4854" s="784"/>
    </row>
    <row r="4855" spans="3:3" x14ac:dyDescent="0.25">
      <c r="C4855" s="784"/>
    </row>
    <row r="4856" spans="3:3" x14ac:dyDescent="0.25">
      <c r="C4856" s="784"/>
    </row>
    <row r="4857" spans="3:3" x14ac:dyDescent="0.25">
      <c r="C4857" s="784"/>
    </row>
    <row r="4858" spans="3:3" x14ac:dyDescent="0.25">
      <c r="C4858" s="784"/>
    </row>
    <row r="4859" spans="3:3" x14ac:dyDescent="0.25">
      <c r="C4859" s="784"/>
    </row>
    <row r="4860" spans="3:3" x14ac:dyDescent="0.25">
      <c r="C4860" s="784"/>
    </row>
    <row r="4861" spans="3:3" x14ac:dyDescent="0.25">
      <c r="C4861" s="784"/>
    </row>
    <row r="4862" spans="3:3" x14ac:dyDescent="0.25">
      <c r="C4862" s="784"/>
    </row>
    <row r="4863" spans="3:3" x14ac:dyDescent="0.25">
      <c r="C4863" s="784"/>
    </row>
    <row r="4864" spans="3:3" x14ac:dyDescent="0.25">
      <c r="C4864" s="784"/>
    </row>
    <row r="4865" spans="3:3" x14ac:dyDescent="0.25">
      <c r="C4865" s="784"/>
    </row>
    <row r="4866" spans="3:3" x14ac:dyDescent="0.25">
      <c r="C4866" s="784"/>
    </row>
    <row r="4867" spans="3:3" x14ac:dyDescent="0.25">
      <c r="C4867" s="784"/>
    </row>
    <row r="4868" spans="3:3" x14ac:dyDescent="0.25">
      <c r="C4868" s="784"/>
    </row>
    <row r="4869" spans="3:3" x14ac:dyDescent="0.25">
      <c r="C4869" s="784"/>
    </row>
    <row r="4870" spans="3:3" x14ac:dyDescent="0.25">
      <c r="C4870" s="784"/>
    </row>
    <row r="4871" spans="3:3" x14ac:dyDescent="0.25">
      <c r="C4871" s="784"/>
    </row>
    <row r="4872" spans="3:3" x14ac:dyDescent="0.25">
      <c r="C4872" s="784"/>
    </row>
    <row r="4873" spans="3:3" x14ac:dyDescent="0.25">
      <c r="C4873" s="784"/>
    </row>
    <row r="4874" spans="3:3" x14ac:dyDescent="0.25">
      <c r="C4874" s="784"/>
    </row>
    <row r="4875" spans="3:3" x14ac:dyDescent="0.25">
      <c r="C4875" s="784"/>
    </row>
    <row r="4876" spans="3:3" x14ac:dyDescent="0.25">
      <c r="C4876" s="784"/>
    </row>
    <row r="4877" spans="3:3" x14ac:dyDescent="0.25">
      <c r="C4877" s="784"/>
    </row>
    <row r="4878" spans="3:3" x14ac:dyDescent="0.25">
      <c r="C4878" s="784"/>
    </row>
    <row r="4879" spans="3:3" x14ac:dyDescent="0.25">
      <c r="C4879" s="784"/>
    </row>
    <row r="4880" spans="3:3" x14ac:dyDescent="0.25">
      <c r="C4880" s="784"/>
    </row>
    <row r="4881" spans="3:3" x14ac:dyDescent="0.25">
      <c r="C4881" s="784"/>
    </row>
    <row r="4882" spans="3:3" x14ac:dyDescent="0.25">
      <c r="C4882" s="784"/>
    </row>
    <row r="4883" spans="3:3" x14ac:dyDescent="0.25">
      <c r="C4883" s="784"/>
    </row>
    <row r="4884" spans="3:3" x14ac:dyDescent="0.25">
      <c r="C4884" s="784"/>
    </row>
    <row r="4885" spans="3:3" x14ac:dyDescent="0.25">
      <c r="C4885" s="784"/>
    </row>
    <row r="4886" spans="3:3" x14ac:dyDescent="0.25">
      <c r="C4886" s="784"/>
    </row>
    <row r="4887" spans="3:3" x14ac:dyDescent="0.25">
      <c r="C4887" s="784"/>
    </row>
    <row r="4888" spans="3:3" x14ac:dyDescent="0.25">
      <c r="C4888" s="784"/>
    </row>
    <row r="4889" spans="3:3" x14ac:dyDescent="0.25">
      <c r="C4889" s="784"/>
    </row>
    <row r="4890" spans="3:3" x14ac:dyDescent="0.25">
      <c r="C4890" s="784"/>
    </row>
    <row r="4891" spans="3:3" x14ac:dyDescent="0.25">
      <c r="C4891" s="784"/>
    </row>
    <row r="4892" spans="3:3" x14ac:dyDescent="0.25">
      <c r="C4892" s="784"/>
    </row>
    <row r="4893" spans="3:3" x14ac:dyDescent="0.25">
      <c r="C4893" s="784"/>
    </row>
    <row r="4894" spans="3:3" x14ac:dyDescent="0.25">
      <c r="C4894" s="784"/>
    </row>
    <row r="4895" spans="3:3" x14ac:dyDescent="0.25">
      <c r="C4895" s="784"/>
    </row>
    <row r="4896" spans="3:3" x14ac:dyDescent="0.25">
      <c r="C4896" s="784"/>
    </row>
    <row r="4897" spans="3:3" x14ac:dyDescent="0.25">
      <c r="C4897" s="784"/>
    </row>
    <row r="4898" spans="3:3" x14ac:dyDescent="0.25">
      <c r="C4898" s="784"/>
    </row>
    <row r="4899" spans="3:3" x14ac:dyDescent="0.25">
      <c r="C4899" s="784"/>
    </row>
    <row r="4900" spans="3:3" x14ac:dyDescent="0.25">
      <c r="C4900" s="784"/>
    </row>
    <row r="4901" spans="3:3" x14ac:dyDescent="0.25">
      <c r="C4901" s="784"/>
    </row>
    <row r="4902" spans="3:3" x14ac:dyDescent="0.25">
      <c r="C4902" s="784"/>
    </row>
    <row r="4903" spans="3:3" x14ac:dyDescent="0.25">
      <c r="C4903" s="784"/>
    </row>
    <row r="4904" spans="3:3" x14ac:dyDescent="0.25">
      <c r="C4904" s="784"/>
    </row>
    <row r="4905" spans="3:3" x14ac:dyDescent="0.25">
      <c r="C4905" s="784"/>
    </row>
    <row r="4906" spans="3:3" x14ac:dyDescent="0.25">
      <c r="C4906" s="784"/>
    </row>
    <row r="4907" spans="3:3" x14ac:dyDescent="0.25">
      <c r="C4907" s="784"/>
    </row>
    <row r="4908" spans="3:3" x14ac:dyDescent="0.25">
      <c r="C4908" s="784"/>
    </row>
    <row r="4909" spans="3:3" x14ac:dyDescent="0.25">
      <c r="C4909" s="784"/>
    </row>
    <row r="4910" spans="3:3" x14ac:dyDescent="0.25">
      <c r="C4910" s="784"/>
    </row>
    <row r="4911" spans="3:3" x14ac:dyDescent="0.25">
      <c r="C4911" s="784"/>
    </row>
    <row r="4912" spans="3:3" x14ac:dyDescent="0.25">
      <c r="C4912" s="784"/>
    </row>
    <row r="4913" spans="3:3" x14ac:dyDescent="0.25">
      <c r="C4913" s="784"/>
    </row>
    <row r="4914" spans="3:3" x14ac:dyDescent="0.25">
      <c r="C4914" s="784"/>
    </row>
    <row r="4915" spans="3:3" x14ac:dyDescent="0.25">
      <c r="C4915" s="784"/>
    </row>
    <row r="4916" spans="3:3" x14ac:dyDescent="0.25">
      <c r="C4916" s="784"/>
    </row>
    <row r="4917" spans="3:3" x14ac:dyDescent="0.25">
      <c r="C4917" s="784"/>
    </row>
    <row r="4918" spans="3:3" x14ac:dyDescent="0.25">
      <c r="C4918" s="784"/>
    </row>
    <row r="4919" spans="3:3" x14ac:dyDescent="0.25">
      <c r="C4919" s="784"/>
    </row>
    <row r="4920" spans="3:3" x14ac:dyDescent="0.25">
      <c r="C4920" s="784"/>
    </row>
    <row r="4921" spans="3:3" x14ac:dyDescent="0.25">
      <c r="C4921" s="784"/>
    </row>
    <row r="4922" spans="3:3" x14ac:dyDescent="0.25">
      <c r="C4922" s="784"/>
    </row>
    <row r="4923" spans="3:3" x14ac:dyDescent="0.25">
      <c r="C4923" s="784"/>
    </row>
    <row r="4924" spans="3:3" x14ac:dyDescent="0.25">
      <c r="C4924" s="784"/>
    </row>
    <row r="4925" spans="3:3" x14ac:dyDescent="0.25">
      <c r="C4925" s="784"/>
    </row>
    <row r="4926" spans="3:3" x14ac:dyDescent="0.25">
      <c r="C4926" s="784"/>
    </row>
    <row r="4927" spans="3:3" x14ac:dyDescent="0.25">
      <c r="C4927" s="784"/>
    </row>
    <row r="4928" spans="3:3" x14ac:dyDescent="0.25">
      <c r="C4928" s="784"/>
    </row>
    <row r="4929" spans="3:3" x14ac:dyDescent="0.25">
      <c r="C4929" s="784"/>
    </row>
    <row r="4930" spans="3:3" x14ac:dyDescent="0.25">
      <c r="C4930" s="784"/>
    </row>
    <row r="4931" spans="3:3" x14ac:dyDescent="0.25">
      <c r="C4931" s="784"/>
    </row>
    <row r="4932" spans="3:3" x14ac:dyDescent="0.25">
      <c r="C4932" s="784"/>
    </row>
    <row r="4933" spans="3:3" x14ac:dyDescent="0.25">
      <c r="C4933" s="784"/>
    </row>
    <row r="4934" spans="3:3" x14ac:dyDescent="0.25">
      <c r="C4934" s="784"/>
    </row>
    <row r="4935" spans="3:3" x14ac:dyDescent="0.25">
      <c r="C4935" s="784"/>
    </row>
    <row r="4936" spans="3:3" x14ac:dyDescent="0.25">
      <c r="C4936" s="784"/>
    </row>
    <row r="4937" spans="3:3" x14ac:dyDescent="0.25">
      <c r="C4937" s="784"/>
    </row>
    <row r="4938" spans="3:3" x14ac:dyDescent="0.25">
      <c r="C4938" s="784"/>
    </row>
    <row r="4939" spans="3:3" x14ac:dyDescent="0.25">
      <c r="C4939" s="784"/>
    </row>
    <row r="4940" spans="3:3" x14ac:dyDescent="0.25">
      <c r="C4940" s="784"/>
    </row>
    <row r="4941" spans="3:3" x14ac:dyDescent="0.25">
      <c r="C4941" s="784"/>
    </row>
    <row r="4942" spans="3:3" x14ac:dyDescent="0.25">
      <c r="C4942" s="784"/>
    </row>
    <row r="4943" spans="3:3" x14ac:dyDescent="0.25">
      <c r="C4943" s="784"/>
    </row>
    <row r="4944" spans="3:3" x14ac:dyDescent="0.25">
      <c r="C4944" s="784"/>
    </row>
    <row r="4945" spans="3:3" x14ac:dyDescent="0.25">
      <c r="C4945" s="784"/>
    </row>
    <row r="4946" spans="3:3" x14ac:dyDescent="0.25">
      <c r="C4946" s="784"/>
    </row>
    <row r="4947" spans="3:3" x14ac:dyDescent="0.25">
      <c r="C4947" s="784"/>
    </row>
    <row r="4948" spans="3:3" x14ac:dyDescent="0.25">
      <c r="C4948" s="784"/>
    </row>
    <row r="4949" spans="3:3" x14ac:dyDescent="0.25">
      <c r="C4949" s="784"/>
    </row>
    <row r="4950" spans="3:3" x14ac:dyDescent="0.25">
      <c r="C4950" s="784"/>
    </row>
    <row r="4951" spans="3:3" x14ac:dyDescent="0.25">
      <c r="C4951" s="784"/>
    </row>
    <row r="4952" spans="3:3" x14ac:dyDescent="0.25">
      <c r="C4952" s="784"/>
    </row>
    <row r="4953" spans="3:3" x14ac:dyDescent="0.25">
      <c r="C4953" s="784"/>
    </row>
    <row r="4954" spans="3:3" x14ac:dyDescent="0.25">
      <c r="C4954" s="784"/>
    </row>
    <row r="4955" spans="3:3" x14ac:dyDescent="0.25">
      <c r="C4955" s="784"/>
    </row>
    <row r="4956" spans="3:3" x14ac:dyDescent="0.25">
      <c r="C4956" s="784"/>
    </row>
    <row r="4957" spans="3:3" x14ac:dyDescent="0.25">
      <c r="C4957" s="784"/>
    </row>
    <row r="4958" spans="3:3" x14ac:dyDescent="0.25">
      <c r="C4958" s="784"/>
    </row>
    <row r="4959" spans="3:3" x14ac:dyDescent="0.25">
      <c r="C4959" s="784"/>
    </row>
    <row r="4960" spans="3:3" x14ac:dyDescent="0.25">
      <c r="C4960" s="784"/>
    </row>
    <row r="4961" spans="3:3" x14ac:dyDescent="0.25">
      <c r="C4961" s="784"/>
    </row>
    <row r="4962" spans="3:3" x14ac:dyDescent="0.25">
      <c r="C4962" s="784"/>
    </row>
    <row r="4963" spans="3:3" x14ac:dyDescent="0.25">
      <c r="C4963" s="784"/>
    </row>
    <row r="4964" spans="3:3" x14ac:dyDescent="0.25">
      <c r="C4964" s="784"/>
    </row>
    <row r="4965" spans="3:3" x14ac:dyDescent="0.25">
      <c r="C4965" s="784"/>
    </row>
    <row r="4966" spans="3:3" x14ac:dyDescent="0.25">
      <c r="C4966" s="784"/>
    </row>
    <row r="4967" spans="3:3" x14ac:dyDescent="0.25">
      <c r="C4967" s="784"/>
    </row>
    <row r="4968" spans="3:3" x14ac:dyDescent="0.25">
      <c r="C4968" s="784"/>
    </row>
    <row r="4969" spans="3:3" x14ac:dyDescent="0.25">
      <c r="C4969" s="784"/>
    </row>
    <row r="4970" spans="3:3" x14ac:dyDescent="0.25">
      <c r="C4970" s="784"/>
    </row>
    <row r="4971" spans="3:3" x14ac:dyDescent="0.25">
      <c r="C4971" s="784"/>
    </row>
    <row r="4972" spans="3:3" x14ac:dyDescent="0.25">
      <c r="C4972" s="784"/>
    </row>
    <row r="4973" spans="3:3" x14ac:dyDescent="0.25">
      <c r="C4973" s="784"/>
    </row>
    <row r="4974" spans="3:3" x14ac:dyDescent="0.25">
      <c r="C4974" s="784"/>
    </row>
    <row r="4975" spans="3:3" x14ac:dyDescent="0.25">
      <c r="C4975" s="784"/>
    </row>
    <row r="4976" spans="3:3" x14ac:dyDescent="0.25">
      <c r="C4976" s="784"/>
    </row>
    <row r="4977" spans="3:3" x14ac:dyDescent="0.25">
      <c r="C4977" s="784"/>
    </row>
    <row r="4978" spans="3:3" x14ac:dyDescent="0.25">
      <c r="C4978" s="784"/>
    </row>
    <row r="4979" spans="3:3" x14ac:dyDescent="0.25">
      <c r="C4979" s="784"/>
    </row>
    <row r="4980" spans="3:3" x14ac:dyDescent="0.25">
      <c r="C4980" s="784"/>
    </row>
    <row r="4981" spans="3:3" x14ac:dyDescent="0.25">
      <c r="C4981" s="784"/>
    </row>
    <row r="4982" spans="3:3" x14ac:dyDescent="0.25">
      <c r="C4982" s="784"/>
    </row>
    <row r="4983" spans="3:3" x14ac:dyDescent="0.25">
      <c r="C4983" s="784"/>
    </row>
    <row r="4984" spans="3:3" x14ac:dyDescent="0.25">
      <c r="C4984" s="784"/>
    </row>
    <row r="4985" spans="3:3" x14ac:dyDescent="0.25">
      <c r="C4985" s="784"/>
    </row>
    <row r="4986" spans="3:3" x14ac:dyDescent="0.25">
      <c r="C4986" s="784"/>
    </row>
    <row r="4987" spans="3:3" x14ac:dyDescent="0.25">
      <c r="C4987" s="784"/>
    </row>
    <row r="4988" spans="3:3" x14ac:dyDescent="0.25">
      <c r="C4988" s="784"/>
    </row>
    <row r="4989" spans="3:3" x14ac:dyDescent="0.25">
      <c r="C4989" s="784"/>
    </row>
    <row r="4990" spans="3:3" x14ac:dyDescent="0.25">
      <c r="C4990" s="784"/>
    </row>
    <row r="4991" spans="3:3" x14ac:dyDescent="0.25">
      <c r="C4991" s="784"/>
    </row>
    <row r="4992" spans="3:3" x14ac:dyDescent="0.25">
      <c r="C4992" s="784"/>
    </row>
    <row r="4993" spans="3:3" x14ac:dyDescent="0.25">
      <c r="C4993" s="784"/>
    </row>
    <row r="4994" spans="3:3" x14ac:dyDescent="0.25">
      <c r="C4994" s="784"/>
    </row>
    <row r="4995" spans="3:3" x14ac:dyDescent="0.25">
      <c r="C4995" s="784"/>
    </row>
    <row r="4996" spans="3:3" x14ac:dyDescent="0.25">
      <c r="C4996" s="784"/>
    </row>
    <row r="4997" spans="3:3" x14ac:dyDescent="0.25">
      <c r="C4997" s="784"/>
    </row>
    <row r="4998" spans="3:3" x14ac:dyDescent="0.25">
      <c r="C4998" s="784"/>
    </row>
    <row r="4999" spans="3:3" x14ac:dyDescent="0.25">
      <c r="C4999" s="784"/>
    </row>
    <row r="5000" spans="3:3" x14ac:dyDescent="0.25">
      <c r="C5000" s="784"/>
    </row>
  </sheetData>
  <mergeCells count="17">
    <mergeCell ref="H21:K21"/>
    <mergeCell ref="B9:K9"/>
    <mergeCell ref="B10:B11"/>
    <mergeCell ref="A17:H17"/>
    <mergeCell ref="B18:K18"/>
    <mergeCell ref="H20:K20"/>
    <mergeCell ref="C10:C11"/>
    <mergeCell ref="D10:D11"/>
    <mergeCell ref="E10:E11"/>
    <mergeCell ref="F10:H10"/>
    <mergeCell ref="I10:K10"/>
    <mergeCell ref="B2:C2"/>
    <mergeCell ref="B7:K7"/>
    <mergeCell ref="B8:K8"/>
    <mergeCell ref="G1:J1"/>
    <mergeCell ref="G2:J2"/>
    <mergeCell ref="G3:J3"/>
  </mergeCells>
  <pageMargins left="0.75" right="0.75" top="0.79" bottom="0.79" header="0.3" footer="0.3"/>
  <pageSetup paperSize="9" scale="95" orientation="landscape" useFirstPageNumber="1" horizontalDpi="65532"/>
  <headerFooter>
    <oddFooter>&amp;CTrang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sheetPr>
  <dimension ref="A1:AI48"/>
  <sheetViews>
    <sheetView showZeros="0" topLeftCell="B1" workbookViewId="0">
      <selection activeCell="E6" sqref="E6"/>
    </sheetView>
  </sheetViews>
  <sheetFormatPr defaultColWidth="9.140625" defaultRowHeight="15" x14ac:dyDescent="0.25"/>
  <cols>
    <col min="1" max="1" width="6.7109375" style="794" hidden="1" customWidth="1"/>
    <col min="2" max="2" width="4.7109375" style="794" bestFit="1" customWidth="1"/>
    <col min="3" max="3" width="8.140625" style="794" bestFit="1" customWidth="1"/>
    <col min="4" max="4" width="10.28515625" style="794" hidden="1" customWidth="1"/>
    <col min="5" max="5" width="47.7109375" style="794" customWidth="1"/>
    <col min="6" max="6" width="13.7109375" style="794" customWidth="1"/>
    <col min="7" max="7" width="12.5703125" style="794" hidden="1" customWidth="1"/>
    <col min="8" max="8" width="10" style="794" hidden="1" customWidth="1"/>
    <col min="9" max="9" width="9.140625" style="794" hidden="1" customWidth="1"/>
    <col min="10" max="10" width="16.7109375" style="794" customWidth="1"/>
    <col min="11" max="11" width="8.85546875" style="794" hidden="1" customWidth="1"/>
    <col min="12" max="12" width="11.7109375" style="794" hidden="1" customWidth="1"/>
    <col min="13" max="13" width="9.42578125" style="794" hidden="1" customWidth="1"/>
    <col min="14" max="15" width="12.5703125" style="794" hidden="1" customWidth="1"/>
    <col min="16" max="16" width="12.42578125" style="794" hidden="1" customWidth="1"/>
    <col min="17" max="17" width="9.42578125" style="794" hidden="1" customWidth="1"/>
    <col min="18" max="18" width="12.28515625" style="794" hidden="1" customWidth="1"/>
    <col min="19" max="19" width="11.7109375" style="794" hidden="1" customWidth="1"/>
    <col min="20" max="20" width="11.85546875" style="794" hidden="1" customWidth="1"/>
    <col min="21" max="21" width="13.5703125" style="794" hidden="1" customWidth="1"/>
    <col min="22" max="22" width="9.85546875" style="794" hidden="1" customWidth="1"/>
    <col min="23" max="23" width="12.140625" style="794" hidden="1" customWidth="1"/>
    <col min="24" max="25" width="16.7109375" style="794" customWidth="1"/>
    <col min="26" max="26" width="11.7109375" style="794" hidden="1" customWidth="1"/>
    <col min="27" max="27" width="13.85546875" style="794" hidden="1" customWidth="1"/>
    <col min="28" max="35" width="9.140625" style="794" hidden="1" customWidth="1"/>
    <col min="36" max="16384" width="9.140625" style="794"/>
  </cols>
  <sheetData>
    <row r="1" spans="1:27" ht="18.75" x14ac:dyDescent="0.3">
      <c r="A1" s="1081" t="s">
        <v>108</v>
      </c>
      <c r="B1" s="1081" t="s">
        <v>108</v>
      </c>
      <c r="C1" s="1081" t="s">
        <v>108</v>
      </c>
      <c r="D1" s="1081" t="s">
        <v>108</v>
      </c>
      <c r="E1" s="1081" t="s">
        <v>108</v>
      </c>
      <c r="F1" s="1081" t="s">
        <v>108</v>
      </c>
      <c r="G1" s="1081" t="s">
        <v>108</v>
      </c>
      <c r="H1" s="1081" t="s">
        <v>108</v>
      </c>
      <c r="I1" s="1081" t="s">
        <v>108</v>
      </c>
      <c r="J1" s="1081" t="s">
        <v>108</v>
      </c>
      <c r="K1" s="1081" t="s">
        <v>108</v>
      </c>
      <c r="L1" s="1081" t="s">
        <v>108</v>
      </c>
      <c r="M1" s="1081" t="s">
        <v>108</v>
      </c>
      <c r="N1" s="1081" t="s">
        <v>108</v>
      </c>
      <c r="O1" s="1081" t="s">
        <v>108</v>
      </c>
      <c r="P1" s="1081" t="s">
        <v>108</v>
      </c>
      <c r="Q1" s="1081" t="s">
        <v>108</v>
      </c>
      <c r="R1" s="1081" t="s">
        <v>108</v>
      </c>
      <c r="S1" s="1081" t="s">
        <v>108</v>
      </c>
      <c r="T1" s="1081" t="s">
        <v>108</v>
      </c>
      <c r="U1" s="1081" t="s">
        <v>108</v>
      </c>
      <c r="V1" s="1081" t="s">
        <v>108</v>
      </c>
      <c r="W1" s="1081" t="s">
        <v>108</v>
      </c>
      <c r="X1" s="1081" t="s">
        <v>108</v>
      </c>
      <c r="Y1" s="1081" t="s">
        <v>108</v>
      </c>
      <c r="Z1" s="1081" t="s">
        <v>108</v>
      </c>
      <c r="AA1" s="1081" t="s">
        <v>108</v>
      </c>
    </row>
    <row r="2" spans="1:27" x14ac:dyDescent="0.25">
      <c r="A2" s="1082" t="s">
        <v>194</v>
      </c>
      <c r="B2" s="1082" t="s">
        <v>194</v>
      </c>
      <c r="C2" s="1082" t="s">
        <v>194</v>
      </c>
      <c r="D2" s="1082" t="s">
        <v>194</v>
      </c>
      <c r="E2" s="1082" t="s">
        <v>194</v>
      </c>
      <c r="F2" s="1082" t="s">
        <v>194</v>
      </c>
      <c r="G2" s="1082" t="s">
        <v>194</v>
      </c>
      <c r="H2" s="1082" t="s">
        <v>194</v>
      </c>
      <c r="I2" s="1082" t="s">
        <v>194</v>
      </c>
      <c r="J2" s="1082" t="s">
        <v>194</v>
      </c>
      <c r="K2" s="1082" t="s">
        <v>194</v>
      </c>
      <c r="L2" s="1082" t="s">
        <v>194</v>
      </c>
      <c r="M2" s="1082" t="s">
        <v>194</v>
      </c>
      <c r="N2" s="1082" t="s">
        <v>194</v>
      </c>
      <c r="O2" s="1082" t="s">
        <v>194</v>
      </c>
      <c r="P2" s="1082" t="s">
        <v>194</v>
      </c>
      <c r="Q2" s="1082" t="s">
        <v>194</v>
      </c>
      <c r="R2" s="1082" t="s">
        <v>194</v>
      </c>
      <c r="S2" s="1082" t="s">
        <v>194</v>
      </c>
      <c r="T2" s="1082" t="s">
        <v>194</v>
      </c>
      <c r="U2" s="1082" t="s">
        <v>194</v>
      </c>
      <c r="V2" s="1082" t="s">
        <v>194</v>
      </c>
      <c r="W2" s="1082" t="s">
        <v>194</v>
      </c>
      <c r="X2" s="1082" t="s">
        <v>194</v>
      </c>
      <c r="Y2" s="1082" t="s">
        <v>194</v>
      </c>
      <c r="Z2" s="1082" t="s">
        <v>194</v>
      </c>
      <c r="AA2" s="1082" t="s">
        <v>194</v>
      </c>
    </row>
    <row r="3" spans="1:27" x14ac:dyDescent="0.25">
      <c r="A3" s="1099" t="s">
        <v>914</v>
      </c>
      <c r="B3" s="1099" t="s">
        <v>914</v>
      </c>
      <c r="C3" s="1099" t="s">
        <v>914</v>
      </c>
      <c r="D3" s="1099" t="s">
        <v>914</v>
      </c>
      <c r="E3" s="1099" t="s">
        <v>914</v>
      </c>
      <c r="F3" s="1099" t="s">
        <v>914</v>
      </c>
      <c r="G3" s="1099" t="s">
        <v>914</v>
      </c>
      <c r="H3" s="1099" t="s">
        <v>914</v>
      </c>
      <c r="I3" s="1099" t="s">
        <v>914</v>
      </c>
      <c r="J3" s="1099" t="s">
        <v>914</v>
      </c>
      <c r="K3" s="1099" t="s">
        <v>914</v>
      </c>
      <c r="L3" s="1099" t="s">
        <v>914</v>
      </c>
      <c r="M3" s="1099" t="s">
        <v>914</v>
      </c>
      <c r="N3" s="1099" t="s">
        <v>914</v>
      </c>
      <c r="O3" s="1099" t="s">
        <v>914</v>
      </c>
      <c r="P3" s="1099" t="s">
        <v>914</v>
      </c>
      <c r="Q3" s="1099" t="s">
        <v>914</v>
      </c>
      <c r="R3" s="1099" t="s">
        <v>914</v>
      </c>
      <c r="S3" s="1099" t="s">
        <v>914</v>
      </c>
      <c r="T3" s="1099" t="s">
        <v>914</v>
      </c>
      <c r="U3" s="1099" t="s">
        <v>914</v>
      </c>
      <c r="V3" s="1099" t="s">
        <v>914</v>
      </c>
      <c r="W3" s="1099" t="s">
        <v>914</v>
      </c>
      <c r="X3" s="1099" t="s">
        <v>914</v>
      </c>
      <c r="Y3" s="1099" t="s">
        <v>914</v>
      </c>
      <c r="Z3" s="1099" t="s">
        <v>914</v>
      </c>
      <c r="AA3" s="1099" t="s">
        <v>914</v>
      </c>
    </row>
    <row r="4" spans="1:27" x14ac:dyDescent="0.25">
      <c r="A4" s="347"/>
      <c r="B4" s="1084" t="s">
        <v>1323</v>
      </c>
      <c r="C4" s="1084" t="s">
        <v>876</v>
      </c>
      <c r="D4" s="288"/>
      <c r="E4" s="1084" t="s">
        <v>560</v>
      </c>
      <c r="F4" s="1084" t="s">
        <v>1448</v>
      </c>
      <c r="G4" s="1084" t="s">
        <v>947</v>
      </c>
      <c r="H4" s="1084" t="s">
        <v>1079</v>
      </c>
      <c r="I4" s="1084" t="s">
        <v>860</v>
      </c>
      <c r="J4" s="1084" t="s">
        <v>1091</v>
      </c>
      <c r="K4" s="1084" t="s">
        <v>1446</v>
      </c>
      <c r="L4" s="1084" t="s">
        <v>898</v>
      </c>
      <c r="M4" s="1084" t="s">
        <v>1313</v>
      </c>
      <c r="N4" s="1084" t="s">
        <v>898</v>
      </c>
      <c r="O4" s="1084" t="s">
        <v>452</v>
      </c>
      <c r="P4" s="1084" t="s">
        <v>898</v>
      </c>
      <c r="Q4" s="1084" t="s">
        <v>860</v>
      </c>
      <c r="R4" s="1084" t="s">
        <v>965</v>
      </c>
      <c r="S4" s="1084" t="s">
        <v>898</v>
      </c>
      <c r="T4" s="1084" t="s">
        <v>452</v>
      </c>
      <c r="U4" s="1084" t="s">
        <v>898</v>
      </c>
      <c r="V4" s="1084" t="s">
        <v>590</v>
      </c>
      <c r="W4" s="1084" t="s">
        <v>898</v>
      </c>
      <c r="X4" s="1084" t="s">
        <v>1192</v>
      </c>
      <c r="Y4" s="1084" t="s">
        <v>898</v>
      </c>
      <c r="Z4" s="1084" t="s">
        <v>452</v>
      </c>
      <c r="AA4" s="1084" t="s">
        <v>898</v>
      </c>
    </row>
    <row r="5" spans="1:27" ht="7.15" customHeight="1" x14ac:dyDescent="0.25">
      <c r="A5" s="347"/>
      <c r="B5" s="1084"/>
      <c r="C5" s="1084"/>
      <c r="D5" s="288"/>
      <c r="E5" s="1084"/>
      <c r="F5" s="1084"/>
      <c r="G5" s="1084" t="s">
        <v>947</v>
      </c>
      <c r="H5" s="1084" t="s">
        <v>1079</v>
      </c>
      <c r="I5" s="1084" t="s">
        <v>860</v>
      </c>
      <c r="J5" s="1084" t="s">
        <v>1091</v>
      </c>
      <c r="K5" s="1084"/>
      <c r="L5" s="1084"/>
      <c r="M5" s="1084"/>
      <c r="N5" s="1084"/>
      <c r="O5" s="1084"/>
      <c r="P5" s="1084"/>
      <c r="Q5" s="1084"/>
      <c r="R5" s="1084"/>
      <c r="S5" s="1084"/>
      <c r="T5" s="1084"/>
      <c r="U5" s="1084"/>
      <c r="V5" s="1084"/>
      <c r="W5" s="1084"/>
      <c r="X5" s="1084"/>
      <c r="Y5" s="1084"/>
      <c r="Z5" s="1084"/>
      <c r="AA5" s="1084"/>
    </row>
    <row r="6" spans="1:27" x14ac:dyDescent="0.25">
      <c r="A6" s="851" t="s">
        <v>1293</v>
      </c>
      <c r="B6" s="110">
        <v>1</v>
      </c>
      <c r="C6" s="45" t="s">
        <v>258</v>
      </c>
      <c r="D6" s="45" t="s">
        <v>258</v>
      </c>
      <c r="E6" s="554" t="str">
        <f>'Giá VL'!E5</f>
        <v>Ống bê tông D ≤600mm, L=1m</v>
      </c>
      <c r="F6" s="110" t="str">
        <f>'Giá VL'!F5</f>
        <v>đoạn</v>
      </c>
      <c r="G6" s="215"/>
      <c r="H6" s="215"/>
      <c r="I6" s="215"/>
      <c r="J6" s="590">
        <f>SUM(J7:J7)</f>
        <v>5</v>
      </c>
      <c r="K6" s="636">
        <f>'Giá VL'!G5</f>
        <v>1050000</v>
      </c>
      <c r="L6" s="636">
        <f>J6*K6</f>
        <v>5250000</v>
      </c>
      <c r="M6" s="636">
        <f>'Giá VL'!J5</f>
        <v>1050000</v>
      </c>
      <c r="N6" s="636">
        <f>J6*M6</f>
        <v>5250000</v>
      </c>
      <c r="O6" s="732">
        <f>M6-K6</f>
        <v>0</v>
      </c>
      <c r="P6" s="636">
        <f>J6*O6</f>
        <v>0</v>
      </c>
      <c r="Q6" s="215">
        <v>1</v>
      </c>
      <c r="R6" s="636">
        <f>M6*Q6</f>
        <v>1050000</v>
      </c>
      <c r="S6" s="636">
        <f>J6*R6</f>
        <v>5250000</v>
      </c>
      <c r="T6" s="183">
        <v>0</v>
      </c>
      <c r="U6" s="636">
        <v>0</v>
      </c>
      <c r="V6" s="636">
        <v>0</v>
      </c>
      <c r="W6" s="636">
        <v>0</v>
      </c>
      <c r="X6" s="636">
        <f>'Giá VL'!V5</f>
        <v>1050000</v>
      </c>
      <c r="Y6" s="636">
        <f>J6*X6</f>
        <v>5250000</v>
      </c>
      <c r="Z6" s="569">
        <f>X6-K6</f>
        <v>0</v>
      </c>
      <c r="AA6" s="636">
        <f>J6*Z6</f>
        <v>0</v>
      </c>
    </row>
    <row r="7" spans="1:27" s="379" customFormat="1" ht="30" hidden="1" x14ac:dyDescent="0.25">
      <c r="A7" s="739"/>
      <c r="B7" s="91"/>
      <c r="C7" s="30" t="str">
        <f>'Tiên lượng'!C24</f>
        <v>BB.11211</v>
      </c>
      <c r="D7" s="30"/>
      <c r="E7" s="538" t="str">
        <f>'Tiên lượng'!D24</f>
        <v>Lắp đặt ống bê tông bằng cần cẩu, đoạn ống dài 1m - Đường kính ≤600mm</v>
      </c>
      <c r="F7" s="91" t="str">
        <f>'Tiên lượng'!E24</f>
        <v>1 đoạn ống</v>
      </c>
      <c r="G7" s="204">
        <f>'Tiên lượng'!M24</f>
        <v>5</v>
      </c>
      <c r="H7" s="204">
        <f>PTVT!G72</f>
        <v>1</v>
      </c>
      <c r="I7" s="204">
        <f>'Tiên lượng'!V24</f>
        <v>1</v>
      </c>
      <c r="J7" s="573">
        <f>PRODUCT(G7,H7,I7)</f>
        <v>5</v>
      </c>
      <c r="K7" s="229"/>
      <c r="L7" s="229"/>
      <c r="M7" s="229"/>
      <c r="N7" s="229"/>
      <c r="O7" s="229"/>
      <c r="P7" s="229"/>
      <c r="Q7" s="204"/>
      <c r="R7" s="229"/>
      <c r="S7" s="229"/>
      <c r="T7" s="229"/>
      <c r="U7" s="229"/>
      <c r="V7" s="229"/>
      <c r="W7" s="229"/>
      <c r="X7" s="229"/>
      <c r="Y7" s="229"/>
      <c r="Z7" s="229"/>
      <c r="AA7" s="229"/>
    </row>
    <row r="8" spans="1:27" x14ac:dyDescent="0.25">
      <c r="A8" s="259" t="s">
        <v>1293</v>
      </c>
      <c r="B8" s="405">
        <v>2</v>
      </c>
      <c r="C8" s="351" t="s">
        <v>172</v>
      </c>
      <c r="D8" s="351" t="s">
        <v>172</v>
      </c>
      <c r="E8" s="828" t="s">
        <v>906</v>
      </c>
      <c r="F8" s="405" t="s">
        <v>1258</v>
      </c>
      <c r="G8" s="510"/>
      <c r="H8" s="510"/>
      <c r="I8" s="510"/>
      <c r="J8" s="853">
        <f>SUM(J9:J9)</f>
        <v>1859.5</v>
      </c>
      <c r="K8" s="542">
        <f>'Tiên lượng'!N37/'Tiên lượng'!V37</f>
        <v>5000</v>
      </c>
      <c r="L8" s="542">
        <f>J8*K8</f>
        <v>9297500</v>
      </c>
      <c r="M8" s="542">
        <f>'Tiên lượng'!N37/'Tiên lượng'!V37</f>
        <v>5000</v>
      </c>
      <c r="N8" s="542">
        <f>J8*M8</f>
        <v>9297500</v>
      </c>
      <c r="O8" s="659">
        <f>M8-K8</f>
        <v>0</v>
      </c>
      <c r="P8" s="542">
        <f>J8*O8</f>
        <v>0</v>
      </c>
      <c r="Q8" s="510">
        <v>1</v>
      </c>
      <c r="R8" s="542">
        <f>M8*Q8</f>
        <v>5000</v>
      </c>
      <c r="S8" s="542">
        <f>J8*R8</f>
        <v>9297500</v>
      </c>
      <c r="T8" s="87">
        <v>0</v>
      </c>
      <c r="U8" s="542">
        <v>0</v>
      </c>
      <c r="V8" s="542">
        <v>0</v>
      </c>
      <c r="W8" s="542">
        <v>0</v>
      </c>
      <c r="X8" s="542">
        <v>5000</v>
      </c>
      <c r="Y8" s="542">
        <f>J8*X8</f>
        <v>9297500</v>
      </c>
      <c r="Z8" s="474">
        <f>X8-K8</f>
        <v>0</v>
      </c>
      <c r="AA8" s="542">
        <f>J8*Z8</f>
        <v>0</v>
      </c>
    </row>
    <row r="9" spans="1:27" s="379" customFormat="1" hidden="1" x14ac:dyDescent="0.25">
      <c r="A9" s="739"/>
      <c r="B9" s="91"/>
      <c r="C9" s="30" t="str">
        <f>'Tiên lượng'!C37</f>
        <v>TT</v>
      </c>
      <c r="D9" s="30"/>
      <c r="E9" s="538" t="str">
        <f>'Tiên lượng'!D37</f>
        <v>Công tác đánh bóng mặt đường bằng máy</v>
      </c>
      <c r="F9" s="91" t="str">
        <f>'Tiên lượng'!E37</f>
        <v>m2</v>
      </c>
      <c r="G9" s="204">
        <f>'Tiên lượng'!M37</f>
        <v>1859.5</v>
      </c>
      <c r="H9" s="204">
        <f>IF(OR(PTVT!G126=0, PTVT!G126=""),1, PTVT!G126)</f>
        <v>1</v>
      </c>
      <c r="I9" s="204">
        <f>'Tiên lượng'!V37</f>
        <v>1</v>
      </c>
      <c r="J9" s="573">
        <f>PRODUCT(G9,H9,I9)</f>
        <v>1859.5</v>
      </c>
      <c r="K9" s="229"/>
      <c r="L9" s="229"/>
      <c r="M9" s="229"/>
      <c r="N9" s="229"/>
      <c r="O9" s="229"/>
      <c r="P9" s="229"/>
      <c r="Q9" s="204"/>
      <c r="R9" s="229"/>
      <c r="S9" s="229"/>
      <c r="T9" s="229"/>
      <c r="U9" s="229"/>
      <c r="V9" s="229"/>
      <c r="W9" s="229"/>
      <c r="X9" s="229"/>
      <c r="Y9" s="229"/>
      <c r="Z9" s="229"/>
      <c r="AA9" s="229"/>
    </row>
    <row r="10" spans="1:27" x14ac:dyDescent="0.25">
      <c r="A10" s="259" t="s">
        <v>1293</v>
      </c>
      <c r="B10" s="405">
        <v>3</v>
      </c>
      <c r="C10" s="351" t="s">
        <v>172</v>
      </c>
      <c r="D10" s="351" t="s">
        <v>172</v>
      </c>
      <c r="E10" s="828" t="s">
        <v>1003</v>
      </c>
      <c r="F10" s="405" t="s">
        <v>418</v>
      </c>
      <c r="G10" s="510"/>
      <c r="H10" s="510"/>
      <c r="I10" s="510"/>
      <c r="J10" s="853">
        <f>SUM(J11:J11)</f>
        <v>2</v>
      </c>
      <c r="K10" s="542">
        <f>'Tiên lượng'!N25/'Tiên lượng'!V25</f>
        <v>1000000</v>
      </c>
      <c r="L10" s="542">
        <f>J10*K10</f>
        <v>2000000</v>
      </c>
      <c r="M10" s="542">
        <f>'Tiên lượng'!N25/'Tiên lượng'!V25</f>
        <v>1000000</v>
      </c>
      <c r="N10" s="542">
        <f>J10*M10</f>
        <v>2000000</v>
      </c>
      <c r="O10" s="659">
        <f>M10-K10</f>
        <v>0</v>
      </c>
      <c r="P10" s="542">
        <f>J10*O10</f>
        <v>0</v>
      </c>
      <c r="Q10" s="510">
        <v>1</v>
      </c>
      <c r="R10" s="542">
        <f>M10*Q10</f>
        <v>1000000</v>
      </c>
      <c r="S10" s="542">
        <f>J10*R10</f>
        <v>2000000</v>
      </c>
      <c r="T10" s="87">
        <v>0</v>
      </c>
      <c r="U10" s="542">
        <v>0</v>
      </c>
      <c r="V10" s="542">
        <v>0</v>
      </c>
      <c r="W10" s="542">
        <v>0</v>
      </c>
      <c r="X10" s="542">
        <v>1000000</v>
      </c>
      <c r="Y10" s="542">
        <f>J10*X10</f>
        <v>2000000</v>
      </c>
      <c r="Z10" s="474">
        <f>X10-K10</f>
        <v>0</v>
      </c>
      <c r="AA10" s="542">
        <f>J10*Z10</f>
        <v>0</v>
      </c>
    </row>
    <row r="11" spans="1:27" s="379" customFormat="1" hidden="1" x14ac:dyDescent="0.25">
      <c r="A11" s="739"/>
      <c r="B11" s="91"/>
      <c r="C11" s="30" t="str">
        <f>'Tiên lượng'!C25</f>
        <v>TT</v>
      </c>
      <c r="D11" s="30"/>
      <c r="E11" s="538" t="str">
        <f>'Tiên lượng'!D25</f>
        <v>Thi công hố ga 2 đầu cống</v>
      </c>
      <c r="F11" s="91" t="str">
        <f>'Tiên lượng'!E25</f>
        <v>cái</v>
      </c>
      <c r="G11" s="204">
        <f>'Tiên lượng'!M25</f>
        <v>2</v>
      </c>
      <c r="H11" s="204">
        <f>IF(OR(PTVT!G79=0, PTVT!G79=""),1, PTVT!G79)</f>
        <v>1</v>
      </c>
      <c r="I11" s="204">
        <f>'Tiên lượng'!V25</f>
        <v>1</v>
      </c>
      <c r="J11" s="573">
        <f>PRODUCT(G11,H11,I11)</f>
        <v>2</v>
      </c>
      <c r="K11" s="229"/>
      <c r="L11" s="229"/>
      <c r="M11" s="229"/>
      <c r="N11" s="229"/>
      <c r="O11" s="229"/>
      <c r="P11" s="229"/>
      <c r="Q11" s="204"/>
      <c r="R11" s="229"/>
      <c r="S11" s="229"/>
      <c r="T11" s="229"/>
      <c r="U11" s="229"/>
      <c r="V11" s="229"/>
      <c r="W11" s="229"/>
      <c r="X11" s="229"/>
      <c r="Y11" s="229"/>
      <c r="Z11" s="229"/>
      <c r="AA11" s="229"/>
    </row>
    <row r="12" spans="1:27" x14ac:dyDescent="0.25">
      <c r="A12" s="259" t="s">
        <v>1293</v>
      </c>
      <c r="B12" s="405">
        <v>4</v>
      </c>
      <c r="C12" s="351" t="s">
        <v>1290</v>
      </c>
      <c r="D12" s="351" t="s">
        <v>1290</v>
      </c>
      <c r="E12" s="828" t="str">
        <f>'Giá VL'!E6</f>
        <v>Đá Base B</v>
      </c>
      <c r="F12" s="405" t="str">
        <f>'Giá VL'!F6</f>
        <v>m3</v>
      </c>
      <c r="G12" s="510"/>
      <c r="H12" s="510"/>
      <c r="I12" s="510"/>
      <c r="J12" s="853">
        <f>SUM(J13:J13)</f>
        <v>67</v>
      </c>
      <c r="K12" s="542">
        <f>'Giá VL'!G6</f>
        <v>220000</v>
      </c>
      <c r="L12" s="542">
        <f>J12*K12</f>
        <v>14740000</v>
      </c>
      <c r="M12" s="542">
        <f>'Giá VL'!J6</f>
        <v>250000</v>
      </c>
      <c r="N12" s="542">
        <f>J12*M12</f>
        <v>16750000</v>
      </c>
      <c r="O12" s="542">
        <f>M12-K12</f>
        <v>30000</v>
      </c>
      <c r="P12" s="542">
        <f>J12*O12</f>
        <v>2010000</v>
      </c>
      <c r="Q12" s="510">
        <v>1</v>
      </c>
      <c r="R12" s="542">
        <f>M12*Q12</f>
        <v>250000</v>
      </c>
      <c r="S12" s="542">
        <f>J12*R12</f>
        <v>16750000</v>
      </c>
      <c r="T12" s="542">
        <v>30000</v>
      </c>
      <c r="U12" s="542">
        <v>2010000</v>
      </c>
      <c r="V12" s="542">
        <v>146476.16578800001</v>
      </c>
      <c r="W12" s="542">
        <v>9813903.1077960003</v>
      </c>
      <c r="X12" s="542">
        <f>'Giá VL'!V6</f>
        <v>396476.16578799998</v>
      </c>
      <c r="Y12" s="542">
        <f>J12*X12</f>
        <v>26563903.107795998</v>
      </c>
      <c r="Z12" s="542">
        <f>X12-K12</f>
        <v>176476.16578799998</v>
      </c>
      <c r="AA12" s="542">
        <f>J12*Z12</f>
        <v>11823903.107795998</v>
      </c>
    </row>
    <row r="13" spans="1:27" s="379" customFormat="1" ht="30" hidden="1" x14ac:dyDescent="0.25">
      <c r="A13" s="739"/>
      <c r="B13" s="91"/>
      <c r="C13" s="30" t="str">
        <f>'Tiên lượng'!C18</f>
        <v>AD.11212.VD</v>
      </c>
      <c r="D13" s="30"/>
      <c r="E13" s="538" t="str">
        <f>'Tiên lượng'!D18</f>
        <v>Bù vênh mặt đường bằng Đá dăm cấp phối loại II (Subbase)</v>
      </c>
      <c r="F13" s="91" t="str">
        <f>'Tiên lượng'!E18</f>
        <v>100m3</v>
      </c>
      <c r="G13" s="204">
        <f>'Tiên lượng'!M18</f>
        <v>0.5</v>
      </c>
      <c r="H13" s="204">
        <f>PTVT!G44</f>
        <v>134</v>
      </c>
      <c r="I13" s="204">
        <f>'Tiên lượng'!V18</f>
        <v>1</v>
      </c>
      <c r="J13" s="573">
        <f>PRODUCT(G13,H13,I13)</f>
        <v>67</v>
      </c>
      <c r="K13" s="229"/>
      <c r="L13" s="229"/>
      <c r="M13" s="229"/>
      <c r="N13" s="229"/>
      <c r="O13" s="229"/>
      <c r="P13" s="229"/>
      <c r="Q13" s="204"/>
      <c r="R13" s="229"/>
      <c r="S13" s="229"/>
      <c r="T13" s="229"/>
      <c r="U13" s="229"/>
      <c r="V13" s="229"/>
      <c r="W13" s="229"/>
      <c r="X13" s="229"/>
      <c r="Y13" s="229"/>
      <c r="Z13" s="229"/>
      <c r="AA13" s="229"/>
    </row>
    <row r="14" spans="1:27" x14ac:dyDescent="0.25">
      <c r="A14" s="259" t="s">
        <v>1293</v>
      </c>
      <c r="B14" s="405">
        <v>5</v>
      </c>
      <c r="C14" s="351" t="s">
        <v>1290</v>
      </c>
      <c r="D14" s="351" t="s">
        <v>1290</v>
      </c>
      <c r="E14" s="828" t="str">
        <f>'Giá VL'!E7</f>
        <v>Đá mạt</v>
      </c>
      <c r="F14" s="405" t="str">
        <f>'Giá VL'!F7</f>
        <v>m3</v>
      </c>
      <c r="G14" s="510"/>
      <c r="H14" s="510"/>
      <c r="I14" s="510"/>
      <c r="J14" s="853">
        <f>SUM(J15:J15)</f>
        <v>22.310999999999996</v>
      </c>
      <c r="K14" s="542">
        <f>'Giá VL'!G7</f>
        <v>250000</v>
      </c>
      <c r="L14" s="542">
        <f>J14*K14</f>
        <v>5577749.9999999991</v>
      </c>
      <c r="M14" s="542">
        <f>'Giá VL'!J7</f>
        <v>250000</v>
      </c>
      <c r="N14" s="542">
        <f>J14*M14</f>
        <v>5577749.9999999991</v>
      </c>
      <c r="O14" s="659">
        <f>M14-K14</f>
        <v>0</v>
      </c>
      <c r="P14" s="542">
        <f>J14*O14</f>
        <v>0</v>
      </c>
      <c r="Q14" s="510">
        <v>1</v>
      </c>
      <c r="R14" s="542">
        <f>M14*Q14</f>
        <v>250000</v>
      </c>
      <c r="S14" s="542">
        <f>J14*R14</f>
        <v>5577749.9999999991</v>
      </c>
      <c r="T14" s="87">
        <v>0</v>
      </c>
      <c r="U14" s="542">
        <v>0</v>
      </c>
      <c r="V14" s="542">
        <v>146476.16578800001</v>
      </c>
      <c r="W14" s="542">
        <v>3268029.7348960699</v>
      </c>
      <c r="X14" s="542">
        <f>'Giá VL'!V7</f>
        <v>396476.16578799998</v>
      </c>
      <c r="Y14" s="542">
        <f>J14*X14</f>
        <v>8845779.7348960657</v>
      </c>
      <c r="Z14" s="542">
        <f>X14-K14</f>
        <v>146476.16578799998</v>
      </c>
      <c r="AA14" s="542">
        <f>J14*Z14</f>
        <v>3268029.7348960671</v>
      </c>
    </row>
    <row r="15" spans="1:27" s="379" customFormat="1" ht="30" hidden="1" x14ac:dyDescent="0.25">
      <c r="A15" s="739"/>
      <c r="B15" s="91"/>
      <c r="C15" s="30" t="str">
        <f>'Tiên lượng'!C20</f>
        <v>AD.11222.VD</v>
      </c>
      <c r="D15" s="30"/>
      <c r="E15" s="538" t="str">
        <f>'Tiên lượng'!D20</f>
        <v>Thi công lớp đệm móng bằng đá mạt. chiều dài 150m</v>
      </c>
      <c r="F15" s="91" t="str">
        <f>'Tiên lượng'!E20</f>
        <v>100m3</v>
      </c>
      <c r="G15" s="204">
        <f>'Tiên lượng'!M20</f>
        <v>0.16649999999999998</v>
      </c>
      <c r="H15" s="204">
        <f>PTVT!G53</f>
        <v>134</v>
      </c>
      <c r="I15" s="204">
        <f>'Tiên lượng'!V20</f>
        <v>1</v>
      </c>
      <c r="J15" s="573">
        <f>PRODUCT(G15,H15,I15)</f>
        <v>22.310999999999996</v>
      </c>
      <c r="K15" s="229"/>
      <c r="L15" s="229"/>
      <c r="M15" s="229"/>
      <c r="N15" s="229"/>
      <c r="O15" s="229"/>
      <c r="P15" s="229"/>
      <c r="Q15" s="204"/>
      <c r="R15" s="229"/>
      <c r="S15" s="229"/>
      <c r="T15" s="229"/>
      <c r="U15" s="229"/>
      <c r="V15" s="229"/>
      <c r="W15" s="229"/>
      <c r="X15" s="229"/>
      <c r="Y15" s="229"/>
      <c r="Z15" s="229"/>
      <c r="AA15" s="229"/>
    </row>
    <row r="16" spans="1:27" x14ac:dyDescent="0.25">
      <c r="A16" s="259" t="s">
        <v>1293</v>
      </c>
      <c r="B16" s="405">
        <v>6</v>
      </c>
      <c r="C16" s="351" t="s">
        <v>142</v>
      </c>
      <c r="D16" s="351" t="s">
        <v>142</v>
      </c>
      <c r="E16" s="828" t="str">
        <f>'Giá VL'!E8</f>
        <v>Đá Base B</v>
      </c>
      <c r="F16" s="405" t="str">
        <f>'Giá VL'!F8</f>
        <v>m3</v>
      </c>
      <c r="G16" s="510"/>
      <c r="H16" s="510"/>
      <c r="I16" s="510"/>
      <c r="J16" s="853">
        <f>SUM(J17:J17)</f>
        <v>162.07950000000002</v>
      </c>
      <c r="K16" s="542">
        <f>'Giá VL'!G8</f>
        <v>220000</v>
      </c>
      <c r="L16" s="542">
        <f>J16*K16</f>
        <v>35657490.000000007</v>
      </c>
      <c r="M16" s="542">
        <f>'Giá VL'!J8</f>
        <v>250000</v>
      </c>
      <c r="N16" s="542">
        <f>J16*M16</f>
        <v>40519875.000000007</v>
      </c>
      <c r="O16" s="542">
        <f>M16-K16</f>
        <v>30000</v>
      </c>
      <c r="P16" s="542">
        <f>J16*O16</f>
        <v>4862385.0000000009</v>
      </c>
      <c r="Q16" s="510">
        <v>1</v>
      </c>
      <c r="R16" s="542">
        <f>M16*Q16</f>
        <v>250000</v>
      </c>
      <c r="S16" s="542">
        <f>J16*R16</f>
        <v>40519875.000000007</v>
      </c>
      <c r="T16" s="542">
        <v>30000</v>
      </c>
      <c r="U16" s="542">
        <v>4862385</v>
      </c>
      <c r="V16" s="542">
        <v>146476.16578800001</v>
      </c>
      <c r="W16" s="542">
        <v>23740783.712836102</v>
      </c>
      <c r="X16" s="542">
        <f>'Giá VL'!V8</f>
        <v>396476.16578799998</v>
      </c>
      <c r="Y16" s="542">
        <f>J16*X16</f>
        <v>64260658.712836154</v>
      </c>
      <c r="Z16" s="542">
        <f>X16-K16</f>
        <v>176476.16578799998</v>
      </c>
      <c r="AA16" s="542">
        <f>J16*Z16</f>
        <v>28603168.712836146</v>
      </c>
    </row>
    <row r="17" spans="1:27" s="379" customFormat="1" ht="30" hidden="1" x14ac:dyDescent="0.25">
      <c r="A17" s="739"/>
      <c r="B17" s="91"/>
      <c r="C17" s="30" t="str">
        <f>'Tiên lượng'!C45</f>
        <v>SF.11311.VD</v>
      </c>
      <c r="D17" s="30"/>
      <c r="E17" s="538" t="str">
        <f>'Tiên lượng'!D45</f>
        <v>Đắp phụ nền, lề đường bằng Đá dăm cấp phối loại II (Subbase)</v>
      </c>
      <c r="F17" s="91" t="str">
        <f>'Tiên lượng'!E45</f>
        <v>m3</v>
      </c>
      <c r="G17" s="204">
        <f>'Tiên lượng'!M45</f>
        <v>113.74000000000001</v>
      </c>
      <c r="H17" s="204">
        <f>PTVT!G150</f>
        <v>1.425</v>
      </c>
      <c r="I17" s="204">
        <f>'Tiên lượng'!V45</f>
        <v>1</v>
      </c>
      <c r="J17" s="573">
        <f>PRODUCT(G17,H17,I17)</f>
        <v>162.07950000000002</v>
      </c>
      <c r="K17" s="229"/>
      <c r="L17" s="229"/>
      <c r="M17" s="229"/>
      <c r="N17" s="229"/>
      <c r="O17" s="229"/>
      <c r="P17" s="229"/>
      <c r="Q17" s="204"/>
      <c r="R17" s="229"/>
      <c r="S17" s="229"/>
      <c r="T17" s="229"/>
      <c r="U17" s="229"/>
      <c r="V17" s="229"/>
      <c r="W17" s="229"/>
      <c r="X17" s="229"/>
      <c r="Y17" s="229"/>
      <c r="Z17" s="229"/>
      <c r="AA17" s="229"/>
    </row>
    <row r="18" spans="1:27" x14ac:dyDescent="0.25">
      <c r="A18" s="259" t="s">
        <v>1293</v>
      </c>
      <c r="B18" s="405">
        <v>7</v>
      </c>
      <c r="C18" s="351" t="s">
        <v>95</v>
      </c>
      <c r="D18" s="351" t="s">
        <v>95</v>
      </c>
      <c r="E18" s="828" t="str">
        <f>'Giá VL'!E9</f>
        <v>Cát vàng</v>
      </c>
      <c r="F18" s="405" t="str">
        <f>'Giá VL'!F9</f>
        <v>m3</v>
      </c>
      <c r="G18" s="510"/>
      <c r="H18" s="510"/>
      <c r="I18" s="510"/>
      <c r="J18" s="853">
        <f>SUM(J19:J19)</f>
        <v>197.07910750000002</v>
      </c>
      <c r="K18" s="542">
        <f>'Giá VL'!G9</f>
        <v>560000</v>
      </c>
      <c r="L18" s="542">
        <f>J18*K18</f>
        <v>110364300.20000002</v>
      </c>
      <c r="M18" s="542">
        <f>'Giá VL'!J9</f>
        <v>800000</v>
      </c>
      <c r="N18" s="542">
        <f>J18*M18</f>
        <v>157663286.00000003</v>
      </c>
      <c r="O18" s="542">
        <f>M18-K18</f>
        <v>240000</v>
      </c>
      <c r="P18" s="542">
        <f>J18*O18</f>
        <v>47298985.800000004</v>
      </c>
      <c r="Q18" s="510">
        <v>1</v>
      </c>
      <c r="R18" s="542">
        <f>M18*Q18</f>
        <v>800000</v>
      </c>
      <c r="S18" s="542">
        <f>J18*R18</f>
        <v>157663286.00000003</v>
      </c>
      <c r="T18" s="542">
        <v>240000</v>
      </c>
      <c r="U18" s="542">
        <v>47298985.799999997</v>
      </c>
      <c r="V18" s="542">
        <v>138105.0399376</v>
      </c>
      <c r="W18" s="542">
        <v>27217618.012154099</v>
      </c>
      <c r="X18" s="542">
        <f>'Giá VL'!V9</f>
        <v>938105.03993760003</v>
      </c>
      <c r="Y18" s="542">
        <f>J18*X18</f>
        <v>184880904.0121541</v>
      </c>
      <c r="Z18" s="542">
        <f>X18-K18</f>
        <v>378105.03993760003</v>
      </c>
      <c r="AA18" s="542">
        <f>J18*Z18</f>
        <v>74516603.81215407</v>
      </c>
    </row>
    <row r="19" spans="1:27" s="379" customFormat="1" ht="45" hidden="1" x14ac:dyDescent="0.25">
      <c r="A19" s="739"/>
      <c r="B19" s="91"/>
      <c r="C19" s="30" t="str">
        <f>'Tiên lượng'!C32</f>
        <v>AF.15434A</v>
      </c>
      <c r="D19" s="30"/>
      <c r="E19" s="538" t="str">
        <f>'Tiên lượng'!D32</f>
        <v>Bê tông sản xuất bằng máy trộn và đổ bằng thủ công, bê tông mặt đường dày mặt đường ≤25cm, bê tông M250, đá 2x4, PCB30</v>
      </c>
      <c r="F19" s="91" t="str">
        <f>'Tiên lượng'!E32</f>
        <v>m3</v>
      </c>
      <c r="G19" s="204">
        <f>'Tiên lượng'!M32</f>
        <v>371.90000000000003</v>
      </c>
      <c r="H19" s="204">
        <f>PTVT!G105</f>
        <v>0.52992499999999998</v>
      </c>
      <c r="I19" s="204">
        <f>'Tiên lượng'!V32</f>
        <v>1</v>
      </c>
      <c r="J19" s="573">
        <f>PRODUCT(G19,H19,I19)</f>
        <v>197.07910750000002</v>
      </c>
      <c r="K19" s="229"/>
      <c r="L19" s="229"/>
      <c r="M19" s="229"/>
      <c r="N19" s="229"/>
      <c r="O19" s="229"/>
      <c r="P19" s="229"/>
      <c r="Q19" s="204"/>
      <c r="R19" s="229"/>
      <c r="S19" s="229"/>
      <c r="T19" s="229"/>
      <c r="U19" s="229"/>
      <c r="V19" s="229"/>
      <c r="W19" s="229"/>
      <c r="X19" s="229"/>
      <c r="Y19" s="229"/>
      <c r="Z19" s="229"/>
      <c r="AA19" s="229"/>
    </row>
    <row r="20" spans="1:27" x14ac:dyDescent="0.25">
      <c r="A20" s="259" t="s">
        <v>1293</v>
      </c>
      <c r="B20" s="405">
        <v>8</v>
      </c>
      <c r="C20" s="351" t="s">
        <v>193</v>
      </c>
      <c r="D20" s="351" t="s">
        <v>193</v>
      </c>
      <c r="E20" s="828" t="str">
        <f>'Giá VL'!E10</f>
        <v>Đá 2x4</v>
      </c>
      <c r="F20" s="405" t="str">
        <f>'Giá VL'!F10</f>
        <v>m3</v>
      </c>
      <c r="G20" s="510"/>
      <c r="H20" s="510"/>
      <c r="I20" s="510"/>
      <c r="J20" s="853">
        <f>SUM(J21:J21)</f>
        <v>319.82470250000006</v>
      </c>
      <c r="K20" s="542">
        <f>'Giá VL'!G10</f>
        <v>140000</v>
      </c>
      <c r="L20" s="542">
        <f>J20*K20</f>
        <v>44775458.350000009</v>
      </c>
      <c r="M20" s="542">
        <f>'Giá VL'!J10</f>
        <v>280000</v>
      </c>
      <c r="N20" s="542">
        <f>J20*M20</f>
        <v>89550916.700000018</v>
      </c>
      <c r="O20" s="542">
        <f>M20-K20</f>
        <v>140000</v>
      </c>
      <c r="P20" s="542">
        <f>J20*O20</f>
        <v>44775458.350000009</v>
      </c>
      <c r="Q20" s="510">
        <v>1</v>
      </c>
      <c r="R20" s="542">
        <f>M20*Q20</f>
        <v>280000</v>
      </c>
      <c r="S20" s="542">
        <f>J20*R20</f>
        <v>89550916.700000018</v>
      </c>
      <c r="T20" s="542">
        <v>140000</v>
      </c>
      <c r="U20" s="542">
        <v>44775458.350000001</v>
      </c>
      <c r="V20" s="542">
        <v>146476.16578800001</v>
      </c>
      <c r="W20" s="542">
        <v>46846696.146487802</v>
      </c>
      <c r="X20" s="542">
        <f>'Giá VL'!V10</f>
        <v>426476.16578799998</v>
      </c>
      <c r="Y20" s="542">
        <f>J20*X20</f>
        <v>136397612.84648779</v>
      </c>
      <c r="Z20" s="542">
        <f>X20-K20</f>
        <v>286476.16578799998</v>
      </c>
      <c r="AA20" s="542">
        <f>J20*Z20</f>
        <v>91622154.496487796</v>
      </c>
    </row>
    <row r="21" spans="1:27" s="379" customFormat="1" ht="45" hidden="1" x14ac:dyDescent="0.25">
      <c r="A21" s="739"/>
      <c r="B21" s="91"/>
      <c r="C21" s="30" t="str">
        <f>'Tiên lượng'!C32</f>
        <v>AF.15434A</v>
      </c>
      <c r="D21" s="30"/>
      <c r="E21" s="538" t="str">
        <f>'Tiên lượng'!D32</f>
        <v>Bê tông sản xuất bằng máy trộn và đổ bằng thủ công, bê tông mặt đường dày mặt đường ≤25cm, bê tông M250, đá 2x4, PCB30</v>
      </c>
      <c r="F21" s="91" t="str">
        <f>'Tiên lượng'!E32</f>
        <v>m3</v>
      </c>
      <c r="G21" s="204">
        <f>'Tiên lượng'!M32</f>
        <v>371.90000000000003</v>
      </c>
      <c r="H21" s="204">
        <f>PTVT!G106</f>
        <v>0.85997500000000004</v>
      </c>
      <c r="I21" s="204">
        <f>'Tiên lượng'!V32</f>
        <v>1</v>
      </c>
      <c r="J21" s="573">
        <f>PRODUCT(G21,H21,I21)</f>
        <v>319.82470250000006</v>
      </c>
      <c r="K21" s="229"/>
      <c r="L21" s="229"/>
      <c r="M21" s="229"/>
      <c r="N21" s="229"/>
      <c r="O21" s="229"/>
      <c r="P21" s="229"/>
      <c r="Q21" s="204"/>
      <c r="R21" s="229"/>
      <c r="S21" s="229"/>
      <c r="T21" s="229"/>
      <c r="U21" s="229"/>
      <c r="V21" s="229"/>
      <c r="W21" s="229"/>
      <c r="X21" s="229"/>
      <c r="Y21" s="229"/>
      <c r="Z21" s="229"/>
      <c r="AA21" s="229"/>
    </row>
    <row r="22" spans="1:27" x14ac:dyDescent="0.25">
      <c r="A22" s="259" t="s">
        <v>1293</v>
      </c>
      <c r="B22" s="405">
        <v>9</v>
      </c>
      <c r="C22" s="351" t="s">
        <v>1285</v>
      </c>
      <c r="D22" s="351">
        <v>6415</v>
      </c>
      <c r="E22" s="828" t="str">
        <f>'Giá VL'!E11</f>
        <v>Giấy nilong</v>
      </c>
      <c r="F22" s="405" t="str">
        <f>'Giá VL'!F11</f>
        <v>m2</v>
      </c>
      <c r="G22" s="510"/>
      <c r="H22" s="510"/>
      <c r="I22" s="510"/>
      <c r="J22" s="853">
        <f>SUM(J23:J23)</f>
        <v>2045.4499999999998</v>
      </c>
      <c r="K22" s="542">
        <f>'Giá VL'!G11</f>
        <v>4000</v>
      </c>
      <c r="L22" s="542">
        <f>J22*K22</f>
        <v>8181799.9999999991</v>
      </c>
      <c r="M22" s="542">
        <f>'Giá VL'!J11</f>
        <v>4000</v>
      </c>
      <c r="N22" s="542">
        <f>J22*M22</f>
        <v>8181799.9999999991</v>
      </c>
      <c r="O22" s="659">
        <f>M22-K22</f>
        <v>0</v>
      </c>
      <c r="P22" s="542">
        <f>J22*O22</f>
        <v>0</v>
      </c>
      <c r="Q22" s="510">
        <v>1</v>
      </c>
      <c r="R22" s="542">
        <f>M22*Q22</f>
        <v>4000</v>
      </c>
      <c r="S22" s="542">
        <f>J22*R22</f>
        <v>8181799.9999999991</v>
      </c>
      <c r="T22" s="87">
        <v>0</v>
      </c>
      <c r="U22" s="542">
        <v>0</v>
      </c>
      <c r="V22" s="542">
        <v>0</v>
      </c>
      <c r="W22" s="542">
        <v>0</v>
      </c>
      <c r="X22" s="542">
        <f>'Giá VL'!V11</f>
        <v>4000</v>
      </c>
      <c r="Y22" s="542">
        <f>J22*X22</f>
        <v>8181799.9999999991</v>
      </c>
      <c r="Z22" s="474">
        <f>X22-K22</f>
        <v>0</v>
      </c>
      <c r="AA22" s="542">
        <f>J22*Z22</f>
        <v>0</v>
      </c>
    </row>
    <row r="23" spans="1:27" s="379" customFormat="1" hidden="1" x14ac:dyDescent="0.25">
      <c r="A23" s="739"/>
      <c r="B23" s="91"/>
      <c r="C23" s="30" t="str">
        <f>'Tiên lượng'!C27</f>
        <v>AL.16201</v>
      </c>
      <c r="D23" s="30"/>
      <c r="E23" s="538" t="str">
        <f>'Tiên lượng'!D27</f>
        <v>Rải giấy ni long lớp cách ly</v>
      </c>
      <c r="F23" s="91" t="str">
        <f>'Tiên lượng'!E27</f>
        <v>100m2</v>
      </c>
      <c r="G23" s="204">
        <f>'Tiên lượng'!M27</f>
        <v>18.594999999999999</v>
      </c>
      <c r="H23" s="204">
        <f>PTVT!G88</f>
        <v>110</v>
      </c>
      <c r="I23" s="204">
        <f>'Tiên lượng'!V27</f>
        <v>1</v>
      </c>
      <c r="J23" s="573">
        <f>PRODUCT(G23,H23,I23)</f>
        <v>2045.4499999999998</v>
      </c>
      <c r="K23" s="229"/>
      <c r="L23" s="229"/>
      <c r="M23" s="229"/>
      <c r="N23" s="229"/>
      <c r="O23" s="229"/>
      <c r="P23" s="229"/>
      <c r="Q23" s="204"/>
      <c r="R23" s="229"/>
      <c r="S23" s="229"/>
      <c r="T23" s="229"/>
      <c r="U23" s="229"/>
      <c r="V23" s="229"/>
      <c r="W23" s="229"/>
      <c r="X23" s="229"/>
      <c r="Y23" s="229"/>
      <c r="Z23" s="229"/>
      <c r="AA23" s="229"/>
    </row>
    <row r="24" spans="1:27" x14ac:dyDescent="0.25">
      <c r="A24" s="259" t="s">
        <v>1293</v>
      </c>
      <c r="B24" s="405">
        <v>10</v>
      </c>
      <c r="C24" s="351" t="s">
        <v>491</v>
      </c>
      <c r="D24" s="351" t="s">
        <v>491</v>
      </c>
      <c r="E24" s="828" t="str">
        <f>'Giá VL'!E12</f>
        <v>Gỗ làm khe co dãn</v>
      </c>
      <c r="F24" s="405" t="str">
        <f>'Giá VL'!F12</f>
        <v>m3</v>
      </c>
      <c r="G24" s="510"/>
      <c r="H24" s="510"/>
      <c r="I24" s="510"/>
      <c r="J24" s="853">
        <f>SUM(J25:J25)</f>
        <v>0</v>
      </c>
      <c r="K24" s="542">
        <f>'Giá VL'!G12</f>
        <v>1700000</v>
      </c>
      <c r="L24" s="542">
        <f>J24*K24</f>
        <v>0</v>
      </c>
      <c r="M24" s="542">
        <f>'Giá VL'!J12</f>
        <v>2800000</v>
      </c>
      <c r="N24" s="542">
        <f>J24*M24</f>
        <v>0</v>
      </c>
      <c r="O24" s="542">
        <f>M24-K24</f>
        <v>1100000</v>
      </c>
      <c r="P24" s="542">
        <f>J24*O24</f>
        <v>0</v>
      </c>
      <c r="Q24" s="510">
        <v>1</v>
      </c>
      <c r="R24" s="542">
        <f>M24*Q24</f>
        <v>2800000</v>
      </c>
      <c r="S24" s="542">
        <f>J24*R24</f>
        <v>0</v>
      </c>
      <c r="T24" s="542">
        <v>1100000</v>
      </c>
      <c r="U24" s="542">
        <v>0</v>
      </c>
      <c r="V24" s="542">
        <v>84202.070811600002</v>
      </c>
      <c r="W24" s="542">
        <v>0</v>
      </c>
      <c r="X24" s="542">
        <f>'Giá VL'!V12</f>
        <v>2884202.0708116</v>
      </c>
      <c r="Y24" s="542">
        <f>J24*X24</f>
        <v>0</v>
      </c>
      <c r="Z24" s="542">
        <f>X24-K24</f>
        <v>1184202.0708116</v>
      </c>
      <c r="AA24" s="542">
        <f>J24*Z24</f>
        <v>0</v>
      </c>
    </row>
    <row r="25" spans="1:27" s="379" customFormat="1" ht="45" hidden="1" x14ac:dyDescent="0.25">
      <c r="A25" s="739"/>
      <c r="B25" s="91"/>
      <c r="C25" s="30" t="str">
        <f>'Tiên lượng'!C32</f>
        <v>AF.15434A</v>
      </c>
      <c r="D25" s="30"/>
      <c r="E25" s="538" t="str">
        <f>'Tiên lượng'!D32</f>
        <v>Bê tông sản xuất bằng máy trộn và đổ bằng thủ công, bê tông mặt đường dày mặt đường ≤25cm, bê tông M250, đá 2x4, PCB30</v>
      </c>
      <c r="F25" s="91" t="str">
        <f>'Tiên lượng'!E32</f>
        <v>m3</v>
      </c>
      <c r="G25" s="204">
        <f>'Tiên lượng'!M32</f>
        <v>371.90000000000003</v>
      </c>
      <c r="H25" s="204">
        <f>PTVT!G108</f>
        <v>0</v>
      </c>
      <c r="I25" s="204">
        <f>'Tiên lượng'!V32</f>
        <v>1</v>
      </c>
      <c r="J25" s="573">
        <f>PRODUCT(G25,H25,I25)</f>
        <v>0</v>
      </c>
      <c r="K25" s="229"/>
      <c r="L25" s="229"/>
      <c r="M25" s="229"/>
      <c r="N25" s="229"/>
      <c r="O25" s="229"/>
      <c r="P25" s="229"/>
      <c r="Q25" s="204"/>
      <c r="R25" s="229"/>
      <c r="S25" s="229"/>
      <c r="T25" s="229"/>
      <c r="U25" s="229"/>
      <c r="V25" s="229"/>
      <c r="W25" s="229"/>
      <c r="X25" s="229"/>
      <c r="Y25" s="229"/>
      <c r="Z25" s="229"/>
      <c r="AA25" s="229"/>
    </row>
    <row r="26" spans="1:27" x14ac:dyDescent="0.25">
      <c r="A26" s="259" t="s">
        <v>1293</v>
      </c>
      <c r="B26" s="405">
        <v>11</v>
      </c>
      <c r="C26" s="351" t="s">
        <v>496</v>
      </c>
      <c r="D26" s="351">
        <v>7294</v>
      </c>
      <c r="E26" s="828" t="str">
        <f>'Giá VL'!E13</f>
        <v>Lưỡi cắt D350mm</v>
      </c>
      <c r="F26" s="405" t="str">
        <f>'Giá VL'!F13</f>
        <v>cái</v>
      </c>
      <c r="G26" s="510"/>
      <c r="H26" s="510"/>
      <c r="I26" s="510"/>
      <c r="J26" s="853">
        <f>SUM(J27:J27)</f>
        <v>4.7770800000000007</v>
      </c>
      <c r="K26" s="542">
        <f>'Giá VL'!G13</f>
        <v>45000</v>
      </c>
      <c r="L26" s="542">
        <f>J26*K26</f>
        <v>214968.60000000003</v>
      </c>
      <c r="M26" s="542">
        <f>'Giá VL'!J13</f>
        <v>45000</v>
      </c>
      <c r="N26" s="542">
        <f>J26*M26</f>
        <v>214968.60000000003</v>
      </c>
      <c r="O26" s="659">
        <f>M26-K26</f>
        <v>0</v>
      </c>
      <c r="P26" s="542">
        <f>J26*O26</f>
        <v>0</v>
      </c>
      <c r="Q26" s="510">
        <v>1</v>
      </c>
      <c r="R26" s="542">
        <f>M26*Q26</f>
        <v>45000</v>
      </c>
      <c r="S26" s="542">
        <f>J26*R26</f>
        <v>214968.60000000003</v>
      </c>
      <c r="T26" s="87">
        <v>0</v>
      </c>
      <c r="U26" s="542">
        <v>0</v>
      </c>
      <c r="V26" s="542">
        <v>0</v>
      </c>
      <c r="W26" s="542">
        <v>0</v>
      </c>
      <c r="X26" s="542">
        <f>'Giá VL'!V13</f>
        <v>45000</v>
      </c>
      <c r="Y26" s="542">
        <f>J26*X26</f>
        <v>214968.60000000003</v>
      </c>
      <c r="Z26" s="474">
        <f>X26-K26</f>
        <v>0</v>
      </c>
      <c r="AA26" s="542">
        <f>J26*Z26</f>
        <v>0</v>
      </c>
    </row>
    <row r="27" spans="1:27" s="379" customFormat="1" hidden="1" x14ac:dyDescent="0.25">
      <c r="A27" s="739"/>
      <c r="B27" s="91"/>
      <c r="C27" s="30" t="str">
        <f>'Tiên lượng'!C35</f>
        <v>AL.22111</v>
      </c>
      <c r="D27" s="30"/>
      <c r="E27" s="538" t="str">
        <f>'Tiên lượng'!D35</f>
        <v>Cắt khe co, dãn mặt đường BTXM ( 5m cắt 1 mạch)</v>
      </c>
      <c r="F27" s="91" t="str">
        <f>'Tiên lượng'!E35</f>
        <v>10m</v>
      </c>
      <c r="G27" s="204">
        <f>'Tiên lượng'!M35</f>
        <v>36.190000000000005</v>
      </c>
      <c r="H27" s="204">
        <f>PTVT!G120</f>
        <v>0.13200000000000001</v>
      </c>
      <c r="I27" s="204">
        <f>'Tiên lượng'!V35</f>
        <v>1</v>
      </c>
      <c r="J27" s="573">
        <f>PRODUCT(G27,H27,I27)</f>
        <v>4.7770800000000007</v>
      </c>
      <c r="K27" s="229"/>
      <c r="L27" s="229"/>
      <c r="M27" s="229"/>
      <c r="N27" s="229"/>
      <c r="O27" s="229"/>
      <c r="P27" s="229"/>
      <c r="Q27" s="204"/>
      <c r="R27" s="229"/>
      <c r="S27" s="229"/>
      <c r="T27" s="229"/>
      <c r="U27" s="229"/>
      <c r="V27" s="229"/>
      <c r="W27" s="229"/>
      <c r="X27" s="229"/>
      <c r="Y27" s="229"/>
      <c r="Z27" s="229"/>
      <c r="AA27" s="229"/>
    </row>
    <row r="28" spans="1:27" x14ac:dyDescent="0.25">
      <c r="A28" s="259" t="s">
        <v>1293</v>
      </c>
      <c r="B28" s="405">
        <v>12</v>
      </c>
      <c r="C28" s="351" t="s">
        <v>138</v>
      </c>
      <c r="D28" s="351" t="s">
        <v>138</v>
      </c>
      <c r="E28" s="828" t="str">
        <f>'Giá VL'!E14</f>
        <v>Nhựa đường</v>
      </c>
      <c r="F28" s="405" t="str">
        <f>'Giá VL'!F14</f>
        <v>kg</v>
      </c>
      <c r="G28" s="510"/>
      <c r="H28" s="510"/>
      <c r="I28" s="510"/>
      <c r="J28" s="853">
        <f>SUM(J29:J29)</f>
        <v>1301.6500000000001</v>
      </c>
      <c r="K28" s="542">
        <f>'Giá VL'!G14</f>
        <v>16300</v>
      </c>
      <c r="L28" s="542">
        <f>J28*K28</f>
        <v>21216895</v>
      </c>
      <c r="M28" s="542">
        <f>'Giá VL'!J14</f>
        <v>23400</v>
      </c>
      <c r="N28" s="542">
        <f>J28*M28</f>
        <v>30458610.000000004</v>
      </c>
      <c r="O28" s="542">
        <f>M28-K28</f>
        <v>7100</v>
      </c>
      <c r="P28" s="542">
        <f>J28*O28</f>
        <v>9241715</v>
      </c>
      <c r="Q28" s="510">
        <v>1</v>
      </c>
      <c r="R28" s="542">
        <f>M28*Q28</f>
        <v>23400</v>
      </c>
      <c r="S28" s="542">
        <f>J28*R28</f>
        <v>30458610.000000004</v>
      </c>
      <c r="T28" s="542">
        <v>7100</v>
      </c>
      <c r="U28" s="542">
        <v>9241715</v>
      </c>
      <c r="V28" s="542">
        <v>112.2153897108</v>
      </c>
      <c r="W28" s="542">
        <v>146065.162017063</v>
      </c>
      <c r="X28" s="542">
        <f>'Giá VL'!V14</f>
        <v>23512.2153897108</v>
      </c>
      <c r="Y28" s="542">
        <f>J28*X28</f>
        <v>30604675.162017066</v>
      </c>
      <c r="Z28" s="542">
        <f>X28-K28</f>
        <v>7212.2153897108001</v>
      </c>
      <c r="AA28" s="542">
        <f>J28*Z28</f>
        <v>9387780.1620170642</v>
      </c>
    </row>
    <row r="29" spans="1:27" s="379" customFormat="1" ht="45" hidden="1" x14ac:dyDescent="0.25">
      <c r="A29" s="739"/>
      <c r="B29" s="91"/>
      <c r="C29" s="30" t="str">
        <f>'Tiên lượng'!C32</f>
        <v>AF.15434A</v>
      </c>
      <c r="D29" s="30"/>
      <c r="E29" s="538" t="str">
        <f>'Tiên lượng'!D32</f>
        <v>Bê tông sản xuất bằng máy trộn và đổ bằng thủ công, bê tông mặt đường dày mặt đường ≤25cm, bê tông M250, đá 2x4, PCB30</v>
      </c>
      <c r="F29" s="91" t="str">
        <f>'Tiên lượng'!E32</f>
        <v>m3</v>
      </c>
      <c r="G29" s="204">
        <f>'Tiên lượng'!M32</f>
        <v>371.90000000000003</v>
      </c>
      <c r="H29" s="204">
        <f>PTVT!G109</f>
        <v>3.5</v>
      </c>
      <c r="I29" s="204">
        <f>'Tiên lượng'!V32</f>
        <v>1</v>
      </c>
      <c r="J29" s="573">
        <f>PRODUCT(G29,H29,I29)</f>
        <v>1301.6500000000001</v>
      </c>
      <c r="K29" s="229"/>
      <c r="L29" s="229"/>
      <c r="M29" s="229"/>
      <c r="N29" s="229"/>
      <c r="O29" s="229"/>
      <c r="P29" s="229"/>
      <c r="Q29" s="204"/>
      <c r="R29" s="229"/>
      <c r="S29" s="229"/>
      <c r="T29" s="229"/>
      <c r="U29" s="229"/>
      <c r="V29" s="229"/>
      <c r="W29" s="229"/>
      <c r="X29" s="229"/>
      <c r="Y29" s="229"/>
      <c r="Z29" s="229"/>
      <c r="AA29" s="229"/>
    </row>
    <row r="30" spans="1:27" x14ac:dyDescent="0.25">
      <c r="A30" s="259" t="s">
        <v>1293</v>
      </c>
      <c r="B30" s="405">
        <v>13</v>
      </c>
      <c r="C30" s="351" t="s">
        <v>135</v>
      </c>
      <c r="D30" s="351" t="s">
        <v>135</v>
      </c>
      <c r="E30" s="828" t="str">
        <f>'Giá VL'!E15</f>
        <v>Nước</v>
      </c>
      <c r="F30" s="405" t="str">
        <f>'Giá VL'!F15</f>
        <v>lít</v>
      </c>
      <c r="G30" s="510"/>
      <c r="H30" s="510"/>
      <c r="I30" s="510"/>
      <c r="J30" s="853">
        <f>SUM(J31:J31)</f>
        <v>65947.167499999996</v>
      </c>
      <c r="K30" s="659">
        <f>'Giá VL'!G15</f>
        <v>15</v>
      </c>
      <c r="L30" s="542">
        <f>J30*K30</f>
        <v>989207.51249999995</v>
      </c>
      <c r="M30" s="542">
        <f>'Giá VL'!J15</f>
        <v>15</v>
      </c>
      <c r="N30" s="542">
        <f>J30*M30</f>
        <v>989207.51249999995</v>
      </c>
      <c r="O30" s="659">
        <f>M30-K30</f>
        <v>0</v>
      </c>
      <c r="P30" s="542">
        <f>J30*O30</f>
        <v>0</v>
      </c>
      <c r="Q30" s="510">
        <v>1</v>
      </c>
      <c r="R30" s="659">
        <f>M30*Q30</f>
        <v>15</v>
      </c>
      <c r="S30" s="542">
        <f>J30*R30</f>
        <v>989207.51249999995</v>
      </c>
      <c r="T30" s="87">
        <v>0</v>
      </c>
      <c r="U30" s="542">
        <v>0</v>
      </c>
      <c r="V30" s="542">
        <v>0</v>
      </c>
      <c r="W30" s="542">
        <v>0</v>
      </c>
      <c r="X30" s="720">
        <f>'Giá VL'!V15</f>
        <v>15</v>
      </c>
      <c r="Y30" s="542">
        <f>J30*X30</f>
        <v>989207.51249999995</v>
      </c>
      <c r="Z30" s="474">
        <f>X30-K30</f>
        <v>0</v>
      </c>
      <c r="AA30" s="542">
        <f>J30*Z30</f>
        <v>0</v>
      </c>
    </row>
    <row r="31" spans="1:27" s="379" customFormat="1" ht="45" hidden="1" x14ac:dyDescent="0.25">
      <c r="A31" s="739"/>
      <c r="B31" s="91"/>
      <c r="C31" s="30" t="str">
        <f>'Tiên lượng'!C32</f>
        <v>AF.15434A</v>
      </c>
      <c r="D31" s="30"/>
      <c r="E31" s="538" t="str">
        <f>'Tiên lượng'!D32</f>
        <v>Bê tông sản xuất bằng máy trộn và đổ bằng thủ công, bê tông mặt đường dày mặt đường ≤25cm, bê tông M250, đá 2x4, PCB30</v>
      </c>
      <c r="F31" s="91" t="str">
        <f>'Tiên lượng'!E32</f>
        <v>m3</v>
      </c>
      <c r="G31" s="204">
        <f>'Tiên lượng'!M32</f>
        <v>371.90000000000003</v>
      </c>
      <c r="H31" s="204">
        <f>PTVT!G107</f>
        <v>177.32499999999999</v>
      </c>
      <c r="I31" s="204">
        <f>'Tiên lượng'!V32</f>
        <v>1</v>
      </c>
      <c r="J31" s="573">
        <f>PRODUCT(G31,H31,I31)</f>
        <v>65947.167499999996</v>
      </c>
      <c r="K31" s="229"/>
      <c r="L31" s="229"/>
      <c r="M31" s="229"/>
      <c r="N31" s="229"/>
      <c r="O31" s="229"/>
      <c r="P31" s="229"/>
      <c r="Q31" s="204"/>
      <c r="R31" s="229"/>
      <c r="S31" s="229"/>
      <c r="T31" s="229"/>
      <c r="U31" s="229"/>
      <c r="V31" s="229"/>
      <c r="W31" s="229"/>
      <c r="X31" s="229"/>
      <c r="Y31" s="229"/>
      <c r="Z31" s="229"/>
      <c r="AA31" s="229"/>
    </row>
    <row r="32" spans="1:27" x14ac:dyDescent="0.25">
      <c r="A32" s="259" t="s">
        <v>1293</v>
      </c>
      <c r="B32" s="405">
        <v>14</v>
      </c>
      <c r="C32" s="351" t="s">
        <v>444</v>
      </c>
      <c r="D32" s="351">
        <v>7970</v>
      </c>
      <c r="E32" s="828" t="str">
        <f>'Giá VL'!E16</f>
        <v>Nước</v>
      </c>
      <c r="F32" s="405" t="str">
        <f>'Giá VL'!F16</f>
        <v>m3</v>
      </c>
      <c r="G32" s="510"/>
      <c r="H32" s="510"/>
      <c r="I32" s="510"/>
      <c r="J32" s="853">
        <f>SUM(J33:J33)</f>
        <v>3.0037700000000007</v>
      </c>
      <c r="K32" s="542">
        <f>'Giá VL'!G16</f>
        <v>15000</v>
      </c>
      <c r="L32" s="542">
        <f>J32*K32</f>
        <v>45056.55000000001</v>
      </c>
      <c r="M32" s="542">
        <f>'Giá VL'!J16</f>
        <v>15000</v>
      </c>
      <c r="N32" s="542">
        <f>J32*M32</f>
        <v>45056.55000000001</v>
      </c>
      <c r="O32" s="659">
        <f>M32-K32</f>
        <v>0</v>
      </c>
      <c r="P32" s="542">
        <f>J32*O32</f>
        <v>0</v>
      </c>
      <c r="Q32" s="510">
        <v>1</v>
      </c>
      <c r="R32" s="542">
        <f>M32*Q32</f>
        <v>15000</v>
      </c>
      <c r="S32" s="542">
        <f>J32*R32</f>
        <v>45056.55000000001</v>
      </c>
      <c r="T32" s="87">
        <v>0</v>
      </c>
      <c r="U32" s="542">
        <v>0</v>
      </c>
      <c r="V32" s="542">
        <v>0</v>
      </c>
      <c r="W32" s="542">
        <v>0</v>
      </c>
      <c r="X32" s="542">
        <f>'Giá VL'!V16</f>
        <v>15000</v>
      </c>
      <c r="Y32" s="542">
        <f>J32*X32</f>
        <v>45056.55000000001</v>
      </c>
      <c r="Z32" s="474">
        <f>X32-K32</f>
        <v>0</v>
      </c>
      <c r="AA32" s="542">
        <f>J32*Z32</f>
        <v>0</v>
      </c>
    </row>
    <row r="33" spans="1:27" s="379" customFormat="1" hidden="1" x14ac:dyDescent="0.25">
      <c r="A33" s="739"/>
      <c r="B33" s="91"/>
      <c r="C33" s="30" t="str">
        <f>'Tiên lượng'!C35</f>
        <v>AL.22111</v>
      </c>
      <c r="D33" s="30"/>
      <c r="E33" s="538" t="str">
        <f>'Tiên lượng'!D35</f>
        <v>Cắt khe co, dãn mặt đường BTXM ( 5m cắt 1 mạch)</v>
      </c>
      <c r="F33" s="91" t="str">
        <f>'Tiên lượng'!E35</f>
        <v>10m</v>
      </c>
      <c r="G33" s="204">
        <f>'Tiên lượng'!M35</f>
        <v>36.190000000000005</v>
      </c>
      <c r="H33" s="204">
        <f>PTVT!G121</f>
        <v>8.3000000000000004E-2</v>
      </c>
      <c r="I33" s="204">
        <f>'Tiên lượng'!V35</f>
        <v>1</v>
      </c>
      <c r="J33" s="573">
        <f>PRODUCT(G33,H33,I33)</f>
        <v>3.0037700000000007</v>
      </c>
      <c r="K33" s="229"/>
      <c r="L33" s="229"/>
      <c r="M33" s="229"/>
      <c r="N33" s="229"/>
      <c r="O33" s="229"/>
      <c r="P33" s="229"/>
      <c r="Q33" s="204"/>
      <c r="R33" s="229"/>
      <c r="S33" s="229"/>
      <c r="T33" s="229"/>
      <c r="U33" s="229"/>
      <c r="V33" s="229"/>
      <c r="W33" s="229"/>
      <c r="X33" s="229"/>
      <c r="Y33" s="229"/>
      <c r="Z33" s="229"/>
      <c r="AA33" s="229"/>
    </row>
    <row r="34" spans="1:27" x14ac:dyDescent="0.25">
      <c r="A34" s="259" t="s">
        <v>1293</v>
      </c>
      <c r="B34" s="405">
        <v>15</v>
      </c>
      <c r="C34" s="351" t="s">
        <v>218</v>
      </c>
      <c r="D34" s="351"/>
      <c r="E34" s="828" t="str">
        <f>'Giá VL'!E17</f>
        <v>Que hàn</v>
      </c>
      <c r="F34" s="405" t="str">
        <f>'Giá VL'!F17</f>
        <v>kg</v>
      </c>
      <c r="G34" s="510"/>
      <c r="H34" s="510"/>
      <c r="I34" s="510"/>
      <c r="J34" s="853">
        <f>SUM(J35:J35)</f>
        <v>3.2674400000000001</v>
      </c>
      <c r="K34" s="542">
        <f>'Giá VL'!G17</f>
        <v>24500</v>
      </c>
      <c r="L34" s="542">
        <f>J34*K34</f>
        <v>80052.28</v>
      </c>
      <c r="M34" s="542">
        <f>'Giá VL'!J17</f>
        <v>24500</v>
      </c>
      <c r="N34" s="542">
        <f>J34*M34</f>
        <v>80052.28</v>
      </c>
      <c r="O34" s="659">
        <f>M34-K34</f>
        <v>0</v>
      </c>
      <c r="P34" s="542">
        <f>J34*O34</f>
        <v>0</v>
      </c>
      <c r="Q34" s="510">
        <v>1</v>
      </c>
      <c r="R34" s="542">
        <f>M34*Q34</f>
        <v>24500</v>
      </c>
      <c r="S34" s="542">
        <f>J34*R34</f>
        <v>80052.28</v>
      </c>
      <c r="T34" s="87">
        <v>0</v>
      </c>
      <c r="U34" s="542">
        <v>0</v>
      </c>
      <c r="V34" s="542">
        <v>0</v>
      </c>
      <c r="W34" s="542">
        <v>0</v>
      </c>
      <c r="X34" s="542">
        <f>'Giá VL'!V17</f>
        <v>24500</v>
      </c>
      <c r="Y34" s="542">
        <f>J34*X34</f>
        <v>80052.28</v>
      </c>
      <c r="Z34" s="474">
        <f>X34-K34</f>
        <v>0</v>
      </c>
      <c r="AA34" s="542">
        <f>J34*Z34</f>
        <v>0</v>
      </c>
    </row>
    <row r="35" spans="1:27" s="379" customFormat="1" hidden="1" x14ac:dyDescent="0.25">
      <c r="A35" s="739"/>
      <c r="B35" s="91"/>
      <c r="C35" s="30" t="str">
        <f>'Tiên lượng'!C30</f>
        <v>AF.82411</v>
      </c>
      <c r="D35" s="30"/>
      <c r="E35" s="538" t="str">
        <f>'Tiên lượng'!D30</f>
        <v>Ván khuôn thép mặt đường bê tông</v>
      </c>
      <c r="F35" s="91" t="str">
        <f>'Tiên lượng'!E30</f>
        <v>100m2</v>
      </c>
      <c r="G35" s="204">
        <f>'Tiên lượng'!M30</f>
        <v>2.0680000000000001</v>
      </c>
      <c r="H35" s="204">
        <f>PTVT!G95</f>
        <v>1.58</v>
      </c>
      <c r="I35" s="204">
        <f>'Tiên lượng'!V30</f>
        <v>1</v>
      </c>
      <c r="J35" s="573">
        <f>PRODUCT(G35,H35,I35)</f>
        <v>3.2674400000000001</v>
      </c>
      <c r="K35" s="229"/>
      <c r="L35" s="229"/>
      <c r="M35" s="229"/>
      <c r="N35" s="229"/>
      <c r="O35" s="229"/>
      <c r="P35" s="229"/>
      <c r="Q35" s="204"/>
      <c r="R35" s="229"/>
      <c r="S35" s="229"/>
      <c r="T35" s="229"/>
      <c r="U35" s="229"/>
      <c r="V35" s="229"/>
      <c r="W35" s="229"/>
      <c r="X35" s="229"/>
      <c r="Y35" s="229"/>
      <c r="Z35" s="229"/>
      <c r="AA35" s="229"/>
    </row>
    <row r="36" spans="1:27" x14ac:dyDescent="0.25">
      <c r="A36" s="259" t="s">
        <v>1293</v>
      </c>
      <c r="B36" s="405">
        <v>16</v>
      </c>
      <c r="C36" s="351" t="s">
        <v>379</v>
      </c>
      <c r="D36" s="351"/>
      <c r="E36" s="828" t="str">
        <f>'Giá VL'!E18</f>
        <v>Thép hình, thép tấm</v>
      </c>
      <c r="F36" s="405" t="str">
        <f>'Giá VL'!F18</f>
        <v>kg</v>
      </c>
      <c r="G36" s="510"/>
      <c r="H36" s="510"/>
      <c r="I36" s="510"/>
      <c r="J36" s="853">
        <f>SUM(J37:J37)</f>
        <v>65.141999999999996</v>
      </c>
      <c r="K36" s="542">
        <f>'Giá VL'!G18</f>
        <v>16300</v>
      </c>
      <c r="L36" s="542">
        <f>J36*K36</f>
        <v>1061814.5999999999</v>
      </c>
      <c r="M36" s="542">
        <f>'Giá VL'!J18</f>
        <v>16300</v>
      </c>
      <c r="N36" s="542">
        <f>J36*M36</f>
        <v>1061814.5999999999</v>
      </c>
      <c r="O36" s="659">
        <f>M36-K36</f>
        <v>0</v>
      </c>
      <c r="P36" s="542">
        <f>J36*O36</f>
        <v>0</v>
      </c>
      <c r="Q36" s="510">
        <v>1</v>
      </c>
      <c r="R36" s="542">
        <f>M36*Q36</f>
        <v>16300</v>
      </c>
      <c r="S36" s="542">
        <f>J36*R36</f>
        <v>1061814.5999999999</v>
      </c>
      <c r="T36" s="87">
        <v>0</v>
      </c>
      <c r="U36" s="542">
        <v>0</v>
      </c>
      <c r="V36" s="542">
        <v>80.851712455600094</v>
      </c>
      <c r="W36" s="542">
        <v>5266.8422527826997</v>
      </c>
      <c r="X36" s="542">
        <f>'Giá VL'!V18</f>
        <v>16380.8517124556</v>
      </c>
      <c r="Y36" s="542">
        <f>J36*X36</f>
        <v>1067081.4422527826</v>
      </c>
      <c r="Z36" s="474">
        <f>X36-K36</f>
        <v>80.851712455600136</v>
      </c>
      <c r="AA36" s="542">
        <f>J36*Z36</f>
        <v>5266.8422527827033</v>
      </c>
    </row>
    <row r="37" spans="1:27" s="379" customFormat="1" hidden="1" x14ac:dyDescent="0.25">
      <c r="A37" s="739"/>
      <c r="B37" s="91"/>
      <c r="C37" s="30" t="str">
        <f>'Tiên lượng'!C30</f>
        <v>AF.82411</v>
      </c>
      <c r="D37" s="30"/>
      <c r="E37" s="538" t="str">
        <f>'Tiên lượng'!D30</f>
        <v>Ván khuôn thép mặt đường bê tông</v>
      </c>
      <c r="F37" s="91" t="str">
        <f>'Tiên lượng'!E30</f>
        <v>100m2</v>
      </c>
      <c r="G37" s="204">
        <f>'Tiên lượng'!M30</f>
        <v>2.0680000000000001</v>
      </c>
      <c r="H37" s="204">
        <f>PTVT!G94</f>
        <v>31.5</v>
      </c>
      <c r="I37" s="204">
        <f>'Tiên lượng'!V30</f>
        <v>1</v>
      </c>
      <c r="J37" s="573">
        <f>PRODUCT(G37,H37,I37)</f>
        <v>65.141999999999996</v>
      </c>
      <c r="K37" s="229"/>
      <c r="L37" s="229"/>
      <c r="M37" s="229"/>
      <c r="N37" s="229"/>
      <c r="O37" s="229"/>
      <c r="P37" s="229"/>
      <c r="Q37" s="204"/>
      <c r="R37" s="229"/>
      <c r="S37" s="229"/>
      <c r="T37" s="229"/>
      <c r="U37" s="229"/>
      <c r="V37" s="229"/>
      <c r="W37" s="229"/>
      <c r="X37" s="229"/>
      <c r="Y37" s="229"/>
      <c r="Z37" s="229"/>
      <c r="AA37" s="229"/>
    </row>
    <row r="38" spans="1:27" x14ac:dyDescent="0.25">
      <c r="A38" s="259" t="s">
        <v>1293</v>
      </c>
      <c r="B38" s="405">
        <v>17</v>
      </c>
      <c r="C38" s="351" t="s">
        <v>762</v>
      </c>
      <c r="D38" s="351" t="s">
        <v>762</v>
      </c>
      <c r="E38" s="828" t="str">
        <f>'Giá VL'!E19</f>
        <v>Xi măng PCB30</v>
      </c>
      <c r="F38" s="405" t="str">
        <f>'Giá VL'!F19</f>
        <v>kg</v>
      </c>
      <c r="G38" s="510"/>
      <c r="H38" s="510"/>
      <c r="I38" s="510"/>
      <c r="J38" s="853">
        <f>SUM(J39:J39)</f>
        <v>129607.15000000001</v>
      </c>
      <c r="K38" s="542">
        <f>'Giá VL'!G19</f>
        <v>1330</v>
      </c>
      <c r="L38" s="542">
        <f>J38*K38</f>
        <v>172377509.5</v>
      </c>
      <c r="M38" s="542">
        <f>'Giá VL'!J19</f>
        <v>1550</v>
      </c>
      <c r="N38" s="542">
        <f>J38*M38</f>
        <v>200891082.5</v>
      </c>
      <c r="O38" s="659">
        <f>M38-K38</f>
        <v>220</v>
      </c>
      <c r="P38" s="542">
        <f>J38*O38</f>
        <v>28513573.000000004</v>
      </c>
      <c r="Q38" s="510">
        <v>1</v>
      </c>
      <c r="R38" s="542">
        <f>M38*Q38</f>
        <v>1550</v>
      </c>
      <c r="S38" s="542">
        <f>J38*R38</f>
        <v>200891082.5</v>
      </c>
      <c r="T38" s="87">
        <v>220</v>
      </c>
      <c r="U38" s="542">
        <v>28513573</v>
      </c>
      <c r="V38" s="542">
        <v>155.16482231320001</v>
      </c>
      <c r="W38" s="542">
        <v>20110470.400270302</v>
      </c>
      <c r="X38" s="542">
        <f>'Giá VL'!V19</f>
        <v>1705.1648223132001</v>
      </c>
      <c r="Y38" s="542">
        <f>J38*X38</f>
        <v>221001552.90027028</v>
      </c>
      <c r="Z38" s="474">
        <f>X38-K38</f>
        <v>375.16482231320015</v>
      </c>
      <c r="AA38" s="542">
        <f>J38*Z38</f>
        <v>48624043.400270283</v>
      </c>
    </row>
    <row r="39" spans="1:27" s="379" customFormat="1" ht="45" hidden="1" x14ac:dyDescent="0.25">
      <c r="A39" s="739"/>
      <c r="B39" s="91"/>
      <c r="C39" s="30" t="str">
        <f>'Tiên lượng'!C32</f>
        <v>AF.15434A</v>
      </c>
      <c r="D39" s="30"/>
      <c r="E39" s="538" t="str">
        <f>'Tiên lượng'!D32</f>
        <v>Bê tông sản xuất bằng máy trộn và đổ bằng thủ công, bê tông mặt đường dày mặt đường ≤25cm, bê tông M250, đá 2x4, PCB30</v>
      </c>
      <c r="F39" s="91" t="str">
        <f>'Tiên lượng'!E32</f>
        <v>m3</v>
      </c>
      <c r="G39" s="204">
        <f>'Tiên lượng'!M32</f>
        <v>371.90000000000003</v>
      </c>
      <c r="H39" s="204">
        <f>PTVT!G104</f>
        <v>348.5</v>
      </c>
      <c r="I39" s="204">
        <f>'Tiên lượng'!V32</f>
        <v>1</v>
      </c>
      <c r="J39" s="573">
        <f>PRODUCT(G39,H39,I39)</f>
        <v>129607.15000000001</v>
      </c>
      <c r="K39" s="229"/>
      <c r="L39" s="229"/>
      <c r="M39" s="229"/>
      <c r="N39" s="229"/>
      <c r="O39" s="229"/>
      <c r="P39" s="229"/>
      <c r="Q39" s="204"/>
      <c r="R39" s="229"/>
      <c r="S39" s="229"/>
      <c r="T39" s="229"/>
      <c r="U39" s="229"/>
      <c r="V39" s="229"/>
      <c r="W39" s="229"/>
      <c r="X39" s="229"/>
      <c r="Y39" s="229"/>
      <c r="Z39" s="229"/>
      <c r="AA39" s="229"/>
    </row>
    <row r="40" spans="1:27" x14ac:dyDescent="0.25">
      <c r="A40" s="259" t="s">
        <v>1293</v>
      </c>
      <c r="B40" s="405">
        <v>18</v>
      </c>
      <c r="C40" s="351" t="s">
        <v>429</v>
      </c>
      <c r="D40" s="351" t="s">
        <v>429</v>
      </c>
      <c r="E40" s="828" t="s">
        <v>1351</v>
      </c>
      <c r="F40" s="405" t="s">
        <v>1086</v>
      </c>
      <c r="G40" s="510"/>
      <c r="H40" s="510"/>
      <c r="I40" s="510"/>
      <c r="J40" s="853">
        <f>SUM(J41:J44)</f>
        <v>572.15899999999999</v>
      </c>
      <c r="K40" s="659">
        <v>0</v>
      </c>
      <c r="L40" s="542">
        <f>SUM(L41:L44)</f>
        <v>5321932.5024375003</v>
      </c>
      <c r="M40" s="542">
        <v>0</v>
      </c>
      <c r="N40" s="542">
        <f>SUM(N41:N44)</f>
        <v>7269378.4846874997</v>
      </c>
      <c r="O40" s="659">
        <v>0</v>
      </c>
      <c r="P40" s="542">
        <v>1947445.9822499999</v>
      </c>
      <c r="Q40" s="510">
        <v>1</v>
      </c>
      <c r="R40" s="659">
        <v>0</v>
      </c>
      <c r="S40" s="542">
        <f>SUM(S41:S44)</f>
        <v>7269378.4846874997</v>
      </c>
      <c r="T40" s="87">
        <v>0</v>
      </c>
      <c r="U40" s="542">
        <v>1947445.9822499999</v>
      </c>
      <c r="V40" s="542">
        <v>0</v>
      </c>
      <c r="W40" s="542">
        <f>SUM(W41:W44)</f>
        <v>0</v>
      </c>
      <c r="X40" s="720">
        <v>0</v>
      </c>
      <c r="Y40" s="542">
        <f>SUM(Y41:Y44)</f>
        <v>8684454.5726140775</v>
      </c>
      <c r="Z40" s="474"/>
      <c r="AA40" s="542">
        <f>SUM(AA41:AA44)</f>
        <v>3362522.0701765753</v>
      </c>
    </row>
    <row r="41" spans="1:27" s="379" customFormat="1" hidden="1" x14ac:dyDescent="0.25">
      <c r="A41" s="739"/>
      <c r="B41" s="91"/>
      <c r="C41" s="30" t="str">
        <f>'Tiên lượng'!C27</f>
        <v>AL.16201</v>
      </c>
      <c r="D41" s="30"/>
      <c r="E41" s="538" t="str">
        <f>'Tiên lượng'!D27</f>
        <v>Rải giấy ni long lớp cách ly</v>
      </c>
      <c r="F41" s="91" t="str">
        <f>'Tiên lượng'!E27</f>
        <v>100m2</v>
      </c>
      <c r="G41" s="204">
        <f>'Tiên lượng'!M27</f>
        <v>18.594999999999999</v>
      </c>
      <c r="H41" s="204">
        <f>PTVT!G89</f>
        <v>0.2</v>
      </c>
      <c r="I41" s="204">
        <f>'Tiên lượng'!V27</f>
        <v>1</v>
      </c>
      <c r="J41" s="573">
        <f t="shared" ref="J41:J44" si="0">PRODUCT(G41,H41,I41)</f>
        <v>3.7189999999999999</v>
      </c>
      <c r="K41" s="229">
        <f>PTVT!J89</f>
        <v>4400</v>
      </c>
      <c r="L41" s="229">
        <f t="shared" ref="L41:L44" si="1">J41*K41</f>
        <v>16363.599999999999</v>
      </c>
      <c r="M41" s="229">
        <f>PTVT!L89</f>
        <v>4400</v>
      </c>
      <c r="N41" s="229">
        <f t="shared" ref="N41:N44" si="2">J41*M41</f>
        <v>16363.599999999999</v>
      </c>
      <c r="O41" s="229">
        <f t="shared" ref="O41:O44" si="3">M41-K41</f>
        <v>0</v>
      </c>
      <c r="P41" s="229">
        <f t="shared" ref="P41:P44" si="4">J41*O41</f>
        <v>0</v>
      </c>
      <c r="Q41" s="204">
        <v>1</v>
      </c>
      <c r="R41" s="229">
        <f t="shared" ref="R41:R44" si="5">M41*Q41</f>
        <v>4400</v>
      </c>
      <c r="S41" s="229">
        <f t="shared" ref="S41:S44" si="6">J41*R41</f>
        <v>16363.599999999999</v>
      </c>
      <c r="T41" s="229"/>
      <c r="U41" s="229"/>
      <c r="V41" s="229">
        <v>0</v>
      </c>
      <c r="W41" s="229">
        <f t="shared" ref="W41:W44" si="7">J41*V41</f>
        <v>0</v>
      </c>
      <c r="X41" s="229">
        <f>PTVT!P89</f>
        <v>4400</v>
      </c>
      <c r="Y41" s="229">
        <f t="shared" ref="Y41:Y44" si="8">J41*X41</f>
        <v>16363.599999999999</v>
      </c>
      <c r="Z41" s="229">
        <f t="shared" ref="Z41:Z44" si="9">X41-K41</f>
        <v>0</v>
      </c>
      <c r="AA41" s="229">
        <f t="shared" ref="AA41:AA44" si="10">J41*Z41</f>
        <v>0</v>
      </c>
    </row>
    <row r="42" spans="1:27" s="379" customFormat="1" hidden="1" x14ac:dyDescent="0.25">
      <c r="A42" s="739"/>
      <c r="B42" s="91"/>
      <c r="C42" s="30" t="str">
        <f>'Tiên lượng'!C30</f>
        <v>AF.82411</v>
      </c>
      <c r="D42" s="30"/>
      <c r="E42" s="538" t="str">
        <f>'Tiên lượng'!D30</f>
        <v>Ván khuôn thép mặt đường bê tông</v>
      </c>
      <c r="F42" s="91" t="str">
        <f>'Tiên lượng'!E30</f>
        <v>100m2</v>
      </c>
      <c r="G42" s="204">
        <f>'Tiên lượng'!M30</f>
        <v>2.0680000000000001</v>
      </c>
      <c r="H42" s="204">
        <f>PTVT!G96</f>
        <v>5</v>
      </c>
      <c r="I42" s="204">
        <f>'Tiên lượng'!V30</f>
        <v>1</v>
      </c>
      <c r="J42" s="573">
        <f t="shared" si="0"/>
        <v>10.34</v>
      </c>
      <c r="K42" s="229">
        <f>PTVT!J96</f>
        <v>5521.6</v>
      </c>
      <c r="L42" s="229">
        <f t="shared" si="1"/>
        <v>57093.344000000005</v>
      </c>
      <c r="M42" s="229">
        <f>PTVT!L96</f>
        <v>5521.6</v>
      </c>
      <c r="N42" s="229">
        <f t="shared" si="2"/>
        <v>57093.344000000005</v>
      </c>
      <c r="O42" s="229">
        <f t="shared" si="3"/>
        <v>0</v>
      </c>
      <c r="P42" s="229">
        <f t="shared" si="4"/>
        <v>0</v>
      </c>
      <c r="Q42" s="204">
        <v>1</v>
      </c>
      <c r="R42" s="229">
        <f t="shared" si="5"/>
        <v>5521.6</v>
      </c>
      <c r="S42" s="229">
        <f t="shared" si="6"/>
        <v>57093.344000000005</v>
      </c>
      <c r="T42" s="229"/>
      <c r="U42" s="229"/>
      <c r="V42" s="229">
        <v>0</v>
      </c>
      <c r="W42" s="229">
        <f t="shared" si="7"/>
        <v>0</v>
      </c>
      <c r="X42" s="229">
        <f>PTVT!P96</f>
        <v>5547.0682894235142</v>
      </c>
      <c r="Y42" s="229">
        <f t="shared" si="8"/>
        <v>57356.686112639138</v>
      </c>
      <c r="Z42" s="229">
        <f t="shared" si="9"/>
        <v>25.468289423513852</v>
      </c>
      <c r="AA42" s="229">
        <f t="shared" si="10"/>
        <v>263.34211263913323</v>
      </c>
    </row>
    <row r="43" spans="1:27" s="379" customFormat="1" ht="45" hidden="1" x14ac:dyDescent="0.25">
      <c r="A43" s="739"/>
      <c r="B43" s="91"/>
      <c r="C43" s="30" t="str">
        <f>'Tiên lượng'!C32</f>
        <v>AF.15434A</v>
      </c>
      <c r="D43" s="30"/>
      <c r="E43" s="538" t="str">
        <f>'Tiên lượng'!D32</f>
        <v>Bê tông sản xuất bằng máy trộn và đổ bằng thủ công, bê tông mặt đường dày mặt đường ≤25cm, bê tông M250, đá 2x4, PCB30</v>
      </c>
      <c r="F43" s="91" t="str">
        <f>'Tiên lượng'!E32</f>
        <v>m3</v>
      </c>
      <c r="G43" s="204">
        <f>'Tiên lượng'!M32</f>
        <v>371.90000000000003</v>
      </c>
      <c r="H43" s="204">
        <f>PTVT!G110</f>
        <v>1.5</v>
      </c>
      <c r="I43" s="204">
        <f>'Tiên lượng'!V32</f>
        <v>1</v>
      </c>
      <c r="J43" s="573">
        <f t="shared" si="0"/>
        <v>557.85</v>
      </c>
      <c r="K43" s="229">
        <f>PTVT!J110</f>
        <v>9403.6937500000004</v>
      </c>
      <c r="L43" s="229">
        <f t="shared" si="1"/>
        <v>5245850.5584375001</v>
      </c>
      <c r="M43" s="229">
        <f>PTVT!L110</f>
        <v>12894.678749999999</v>
      </c>
      <c r="N43" s="229">
        <f t="shared" si="2"/>
        <v>7193296.5406874996</v>
      </c>
      <c r="O43" s="229">
        <f t="shared" si="3"/>
        <v>3490.9849999999988</v>
      </c>
      <c r="P43" s="229">
        <f t="shared" si="4"/>
        <v>1947445.9822499994</v>
      </c>
      <c r="Q43" s="204">
        <v>1</v>
      </c>
      <c r="R43" s="229">
        <f t="shared" si="5"/>
        <v>12894.678749999999</v>
      </c>
      <c r="S43" s="229">
        <f t="shared" si="6"/>
        <v>7193296.5406874996</v>
      </c>
      <c r="T43" s="229"/>
      <c r="U43" s="229"/>
      <c r="V43" s="229">
        <v>0</v>
      </c>
      <c r="W43" s="229">
        <f t="shared" si="7"/>
        <v>0</v>
      </c>
      <c r="X43" s="229">
        <f>PTVT!P110</f>
        <v>15430.867234026058</v>
      </c>
      <c r="Y43" s="229">
        <f t="shared" si="8"/>
        <v>8608109.2865014374</v>
      </c>
      <c r="Z43" s="229">
        <f t="shared" si="9"/>
        <v>6027.1734840260578</v>
      </c>
      <c r="AA43" s="229">
        <f t="shared" si="10"/>
        <v>3362258.7280639363</v>
      </c>
    </row>
    <row r="44" spans="1:27" s="379" customFormat="1" ht="30" hidden="1" x14ac:dyDescent="0.25">
      <c r="A44" s="739"/>
      <c r="B44" s="91"/>
      <c r="C44" s="30" t="str">
        <f>'Tiên lượng'!C24</f>
        <v>BB.11211</v>
      </c>
      <c r="D44" s="30"/>
      <c r="E44" s="538" t="str">
        <f>'Tiên lượng'!D24</f>
        <v>Lắp đặt ống bê tông bằng cần cẩu, đoạn ống dài 1m - Đường kính ≤600mm</v>
      </c>
      <c r="F44" s="91" t="str">
        <f>'Tiên lượng'!E24</f>
        <v>1 đoạn ống</v>
      </c>
      <c r="G44" s="204">
        <f>'Tiên lượng'!M24</f>
        <v>5</v>
      </c>
      <c r="H44" s="204">
        <f>PTVT!G73</f>
        <v>0.05</v>
      </c>
      <c r="I44" s="204">
        <f>'Tiên lượng'!V24</f>
        <v>1</v>
      </c>
      <c r="J44" s="573">
        <f t="shared" si="0"/>
        <v>0.25</v>
      </c>
      <c r="K44" s="229">
        <f>PTVT!J73</f>
        <v>10500</v>
      </c>
      <c r="L44" s="229">
        <f t="shared" si="1"/>
        <v>2625</v>
      </c>
      <c r="M44" s="229">
        <f>PTVT!L73</f>
        <v>10500</v>
      </c>
      <c r="N44" s="229">
        <f t="shared" si="2"/>
        <v>2625</v>
      </c>
      <c r="O44" s="229">
        <f t="shared" si="3"/>
        <v>0</v>
      </c>
      <c r="P44" s="229">
        <f t="shared" si="4"/>
        <v>0</v>
      </c>
      <c r="Q44" s="204">
        <v>1</v>
      </c>
      <c r="R44" s="229">
        <f t="shared" si="5"/>
        <v>10500</v>
      </c>
      <c r="S44" s="229">
        <f t="shared" si="6"/>
        <v>2625</v>
      </c>
      <c r="T44" s="229"/>
      <c r="U44" s="229"/>
      <c r="V44" s="229">
        <v>0</v>
      </c>
      <c r="W44" s="229">
        <f t="shared" si="7"/>
        <v>0</v>
      </c>
      <c r="X44" s="229">
        <f>PTVT!P73</f>
        <v>10500</v>
      </c>
      <c r="Y44" s="229">
        <f t="shared" si="8"/>
        <v>2625</v>
      </c>
      <c r="Z44" s="229">
        <f t="shared" si="9"/>
        <v>0</v>
      </c>
      <c r="AA44" s="229">
        <f t="shared" si="10"/>
        <v>0</v>
      </c>
    </row>
    <row r="45" spans="1:27" x14ac:dyDescent="0.25">
      <c r="A45" s="341"/>
      <c r="B45" s="217"/>
      <c r="C45" s="157"/>
      <c r="D45" s="157"/>
      <c r="E45" s="667" t="s">
        <v>911</v>
      </c>
      <c r="F45" s="217"/>
      <c r="G45" s="321"/>
      <c r="H45" s="321"/>
      <c r="I45" s="321"/>
      <c r="J45" s="150"/>
      <c r="K45" s="727"/>
      <c r="L45" s="727">
        <f>SUMIF(A6:A44,"VT",L6:L44)</f>
        <v>437151735.09493744</v>
      </c>
      <c r="M45" s="727"/>
      <c r="N45" s="727">
        <f>SUMIF(A6:A44,"VT",N6:N44)</f>
        <v>575801298.22718751</v>
      </c>
      <c r="O45" s="727"/>
      <c r="P45" s="727">
        <f>SUMIF(A6:A44,"VT",P6:P44)</f>
        <v>138649563.13225001</v>
      </c>
      <c r="Q45" s="321"/>
      <c r="R45" s="727"/>
      <c r="S45" s="727">
        <f>SUMIF(A6:A44,"VT",S6:S44)</f>
        <v>575801298.22718751</v>
      </c>
      <c r="T45" s="727"/>
      <c r="U45" s="727">
        <f>SUMIF(A6:A44,"VT",U6:U44)</f>
        <v>138649563.13225001</v>
      </c>
      <c r="V45" s="727"/>
      <c r="W45" s="727">
        <f>SUMIF(A6:A44,"VT",W6:W44)</f>
        <v>131148833.1187102</v>
      </c>
      <c r="X45" s="727"/>
      <c r="Y45" s="727">
        <f>SUMIF(A6:A44,"VT",Y6:Y44)</f>
        <v>708365207.4338243</v>
      </c>
      <c r="Z45" s="727"/>
      <c r="AA45" s="727">
        <f>SUMIF(A6:A44,"VT",AA6:AA44)</f>
        <v>271213472.3388868</v>
      </c>
    </row>
    <row r="46" spans="1:27" x14ac:dyDescent="0.25">
      <c r="A46" s="702"/>
      <c r="B46" s="409"/>
      <c r="C46" s="409"/>
      <c r="D46" s="409"/>
      <c r="E46" s="409"/>
      <c r="F46" s="409"/>
      <c r="G46" s="409"/>
      <c r="H46" s="409"/>
      <c r="I46" s="409"/>
      <c r="J46" s="409"/>
      <c r="K46" s="409"/>
      <c r="L46" s="409"/>
      <c r="M46" s="409"/>
      <c r="N46" s="409"/>
      <c r="O46" s="409"/>
      <c r="P46" s="409"/>
      <c r="Q46" s="409"/>
      <c r="R46" s="409"/>
      <c r="S46" s="409"/>
      <c r="T46" s="409"/>
      <c r="U46" s="409"/>
      <c r="V46" s="409"/>
      <c r="W46" s="409"/>
      <c r="X46" s="409"/>
      <c r="Y46" s="409"/>
      <c r="Z46" s="409"/>
      <c r="AA46" s="409"/>
    </row>
    <row r="47" spans="1:27" x14ac:dyDescent="0.25">
      <c r="B47" s="874"/>
      <c r="C47" s="874"/>
      <c r="D47" s="874"/>
      <c r="E47" s="874"/>
      <c r="F47" s="874"/>
      <c r="G47" s="874"/>
      <c r="H47" s="874"/>
      <c r="I47" s="874"/>
      <c r="J47" s="874"/>
      <c r="K47" s="874"/>
      <c r="L47" s="874"/>
      <c r="M47" s="874"/>
      <c r="N47" s="874"/>
      <c r="O47" s="874"/>
      <c r="P47" s="874"/>
      <c r="Q47" s="874"/>
      <c r="R47" s="874"/>
      <c r="S47" s="874"/>
      <c r="T47" s="874"/>
      <c r="U47" s="874"/>
      <c r="V47" s="874"/>
      <c r="W47" s="874"/>
      <c r="X47" s="874"/>
      <c r="Y47" s="874"/>
      <c r="Z47" s="874"/>
      <c r="AA47" s="874"/>
    </row>
    <row r="48" spans="1:27" x14ac:dyDescent="0.25">
      <c r="B48" s="874"/>
      <c r="C48" s="874"/>
      <c r="D48" s="874"/>
      <c r="E48" s="874"/>
      <c r="F48" s="874"/>
      <c r="G48" s="874"/>
      <c r="H48" s="874"/>
      <c r="I48" s="874"/>
      <c r="J48" s="874"/>
      <c r="K48" s="874"/>
      <c r="L48" s="874"/>
      <c r="M48" s="874"/>
      <c r="N48" s="874"/>
      <c r="O48" s="874"/>
      <c r="P48" s="874"/>
      <c r="Q48" s="874"/>
      <c r="R48" s="874"/>
      <c r="S48" s="874"/>
      <c r="T48" s="874"/>
      <c r="U48" s="874"/>
      <c r="V48" s="874"/>
      <c r="W48" s="874"/>
      <c r="X48" s="874"/>
      <c r="Y48" s="874"/>
      <c r="Z48" s="874"/>
      <c r="AA48" s="874"/>
    </row>
  </sheetData>
  <mergeCells count="28">
    <mergeCell ref="B4:B5"/>
    <mergeCell ref="C4:C5"/>
    <mergeCell ref="E4:E5"/>
    <mergeCell ref="F4:F5"/>
    <mergeCell ref="X4:X5"/>
    <mergeCell ref="Y4:Y5"/>
    <mergeCell ref="Z4:Z5"/>
    <mergeCell ref="Q4:Q5"/>
    <mergeCell ref="R4:R5"/>
    <mergeCell ref="S4:S5"/>
    <mergeCell ref="T4:T5"/>
    <mergeCell ref="U4:U5"/>
    <mergeCell ref="A1:AA1"/>
    <mergeCell ref="A2:AA2"/>
    <mergeCell ref="G4:G5"/>
    <mergeCell ref="H4:H5"/>
    <mergeCell ref="I4:I5"/>
    <mergeCell ref="J4:J5"/>
    <mergeCell ref="K4:K5"/>
    <mergeCell ref="L4:L5"/>
    <mergeCell ref="M4:M5"/>
    <mergeCell ref="N4:N5"/>
    <mergeCell ref="O4:O5"/>
    <mergeCell ref="P4:P5"/>
    <mergeCell ref="AA4:AA5"/>
    <mergeCell ref="A3:AA3"/>
    <mergeCell ref="V4:V5"/>
    <mergeCell ref="W4:W5"/>
  </mergeCells>
  <pageMargins left="1.05" right="0.75" top="0.79" bottom="0.79" header="0.3" footer="0.3"/>
  <pageSetup paperSize="9" orientation="landscape" useFirstPageNumber="1" r:id="rId1"/>
  <headerFooter>
    <oddFooter>&amp;CTrang &amp;P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A20"/>
  <sheetViews>
    <sheetView showGridLines="0" showZeros="0" topLeftCell="B1" workbookViewId="0">
      <selection sqref="A1:D1"/>
    </sheetView>
  </sheetViews>
  <sheetFormatPr defaultColWidth="9.42578125" defaultRowHeight="15" x14ac:dyDescent="0.25"/>
  <cols>
    <col min="1" max="1" width="8.85546875" hidden="1" customWidth="1"/>
    <col min="2" max="2" width="3.85546875" bestFit="1" customWidth="1"/>
    <col min="3" max="3" width="50.7109375" customWidth="1"/>
    <col min="4" max="4" width="7" bestFit="1" customWidth="1"/>
    <col min="5" max="5" width="17.42578125" bestFit="1" customWidth="1"/>
    <col min="6" max="8" width="12.7109375" customWidth="1"/>
    <col min="9" max="9" width="8.85546875" customWidth="1"/>
  </cols>
  <sheetData>
    <row r="1" spans="1:27" ht="18.75" x14ac:dyDescent="0.3">
      <c r="A1" s="1101" t="s">
        <v>313</v>
      </c>
      <c r="B1" s="1101"/>
      <c r="C1" s="1101"/>
      <c r="D1" s="1101"/>
      <c r="E1" s="1101"/>
      <c r="F1" s="1101"/>
      <c r="G1" s="1101"/>
      <c r="H1" s="1101"/>
      <c r="I1" s="1101"/>
    </row>
    <row r="2" spans="1:27" ht="15.75" x14ac:dyDescent="0.25">
      <c r="A2" s="1133" t="s">
        <v>194</v>
      </c>
      <c r="B2" s="1133"/>
      <c r="C2" s="1133"/>
      <c r="D2" s="1133"/>
      <c r="E2" s="1133"/>
      <c r="F2" s="1133"/>
      <c r="G2" s="1133"/>
      <c r="H2" s="1133"/>
      <c r="I2" s="1133"/>
    </row>
    <row r="3" spans="1:27" x14ac:dyDescent="0.25">
      <c r="A3" s="1225" t="s">
        <v>814</v>
      </c>
      <c r="B3" s="1225"/>
      <c r="C3" s="1225"/>
      <c r="D3" s="1225"/>
      <c r="E3" s="1225"/>
      <c r="F3" s="1225"/>
      <c r="G3" s="1225"/>
      <c r="H3" s="1225"/>
      <c r="I3" s="1225"/>
    </row>
    <row r="4" spans="1:27" ht="28.5" x14ac:dyDescent="0.25">
      <c r="A4" s="910" t="s">
        <v>1220</v>
      </c>
      <c r="B4" s="891" t="s">
        <v>1323</v>
      </c>
      <c r="C4" s="891" t="s">
        <v>610</v>
      </c>
      <c r="D4" s="891" t="s">
        <v>941</v>
      </c>
      <c r="E4" s="891" t="s">
        <v>426</v>
      </c>
      <c r="F4" s="891" t="s">
        <v>478</v>
      </c>
      <c r="G4" s="891" t="s">
        <v>10</v>
      </c>
      <c r="H4" s="891" t="s">
        <v>747</v>
      </c>
      <c r="I4" s="891" t="s">
        <v>1278</v>
      </c>
      <c r="J4" s="600"/>
      <c r="K4" s="600"/>
      <c r="L4" s="600"/>
      <c r="M4" s="600"/>
      <c r="N4" s="600"/>
      <c r="O4" s="600"/>
      <c r="P4" s="600"/>
      <c r="Q4" s="600"/>
      <c r="R4" s="600"/>
      <c r="S4" s="600"/>
      <c r="T4" s="600"/>
      <c r="U4" s="600"/>
      <c r="V4" s="600"/>
      <c r="W4" s="600"/>
      <c r="X4" s="600"/>
      <c r="Y4" s="600"/>
      <c r="Z4" s="600"/>
      <c r="AA4" s="600"/>
    </row>
    <row r="5" spans="1:27" ht="28.5" x14ac:dyDescent="0.25">
      <c r="A5" s="622" t="s">
        <v>1150</v>
      </c>
      <c r="B5" s="275">
        <v>1</v>
      </c>
      <c r="C5" s="715" t="s">
        <v>1357</v>
      </c>
      <c r="D5" s="275" t="s">
        <v>1150</v>
      </c>
      <c r="E5" s="275"/>
      <c r="F5" s="877">
        <f t="shared" ref="F5:H5" si="0">SUM(F6:F6)</f>
        <v>0</v>
      </c>
      <c r="G5" s="877">
        <f t="shared" si="0"/>
        <v>0</v>
      </c>
      <c r="H5" s="877">
        <f t="shared" si="0"/>
        <v>0</v>
      </c>
      <c r="I5" s="216"/>
      <c r="J5" s="600"/>
      <c r="K5" s="600"/>
      <c r="L5" s="600"/>
      <c r="M5" s="600"/>
      <c r="N5" s="600"/>
      <c r="O5" s="600"/>
      <c r="P5" s="600"/>
      <c r="Q5" s="600"/>
      <c r="R5" s="600"/>
      <c r="S5" s="600"/>
      <c r="T5" s="600"/>
      <c r="U5" s="600"/>
      <c r="V5" s="600"/>
      <c r="W5" s="600"/>
      <c r="X5" s="600"/>
      <c r="Y5" s="600"/>
      <c r="Z5" s="600"/>
      <c r="AA5" s="600"/>
    </row>
    <row r="6" spans="1:27" x14ac:dyDescent="0.25">
      <c r="A6" s="396" t="s">
        <v>179</v>
      </c>
      <c r="B6" s="731" t="s">
        <v>179</v>
      </c>
      <c r="C6" s="255" t="s">
        <v>1282</v>
      </c>
      <c r="D6" s="731" t="s">
        <v>1139</v>
      </c>
      <c r="E6" s="731" t="str">
        <f>"Gxd trước thuế x " &amp; 100*I6 &amp;"%"</f>
        <v>Gxd trước thuế x 0%</v>
      </c>
      <c r="F6" s="52">
        <f>THKPHM!F21*I6</f>
        <v>0</v>
      </c>
      <c r="G6" s="52">
        <f>F6*10%</f>
        <v>0</v>
      </c>
      <c r="H6" s="52">
        <f>F6+G6</f>
        <v>0</v>
      </c>
      <c r="I6" s="674">
        <v>0</v>
      </c>
      <c r="J6" s="600"/>
      <c r="K6" s="600"/>
      <c r="L6" s="600"/>
      <c r="M6" s="600"/>
      <c r="N6" s="600"/>
      <c r="O6" s="600"/>
      <c r="P6" s="600"/>
      <c r="Q6" s="600"/>
      <c r="R6" s="600"/>
      <c r="S6" s="600"/>
      <c r="T6" s="600"/>
      <c r="U6" s="600"/>
      <c r="V6" s="600"/>
      <c r="W6" s="600"/>
      <c r="X6" s="600"/>
      <c r="Y6" s="600"/>
      <c r="Z6" s="600"/>
      <c r="AA6" s="600"/>
    </row>
    <row r="7" spans="1:27" ht="28.5" x14ac:dyDescent="0.25">
      <c r="A7" s="532" t="s">
        <v>1231</v>
      </c>
      <c r="B7" s="585">
        <v>2</v>
      </c>
      <c r="C7" s="92" t="s">
        <v>509</v>
      </c>
      <c r="D7" s="585" t="s">
        <v>1231</v>
      </c>
      <c r="E7" s="585"/>
      <c r="F7" s="805">
        <f t="shared" ref="F7:H7" si="1">SUM(F8:F8)</f>
        <v>0</v>
      </c>
      <c r="G7" s="805">
        <f t="shared" si="1"/>
        <v>0</v>
      </c>
      <c r="H7" s="805">
        <f t="shared" si="1"/>
        <v>0</v>
      </c>
      <c r="I7" s="512"/>
      <c r="J7" s="600"/>
      <c r="K7" s="600"/>
      <c r="L7" s="600"/>
      <c r="M7" s="600"/>
      <c r="N7" s="600"/>
      <c r="O7" s="600"/>
      <c r="P7" s="600"/>
      <c r="Q7" s="600"/>
      <c r="R7" s="600"/>
      <c r="S7" s="600"/>
      <c r="T7" s="600"/>
      <c r="U7" s="600"/>
      <c r="V7" s="600"/>
      <c r="W7" s="600"/>
      <c r="X7" s="600"/>
      <c r="Y7" s="600"/>
      <c r="Z7" s="600"/>
      <c r="AA7" s="600"/>
    </row>
    <row r="8" spans="1:27" x14ac:dyDescent="0.25">
      <c r="A8" s="396" t="s">
        <v>393</v>
      </c>
      <c r="B8" s="731" t="s">
        <v>393</v>
      </c>
      <c r="C8" s="255" t="s">
        <v>1282</v>
      </c>
      <c r="D8" s="731" t="s">
        <v>1139</v>
      </c>
      <c r="E8" s="731" t="str">
        <f>"Gxd trước thuế x " &amp; 100*I8 &amp;"%"</f>
        <v>Gxd trước thuế x 0%</v>
      </c>
      <c r="F8" s="52">
        <f>THKPHM!F21*I8</f>
        <v>0</v>
      </c>
      <c r="G8" s="52">
        <f>F8*10%</f>
        <v>0</v>
      </c>
      <c r="H8" s="52">
        <f>F8+G8</f>
        <v>0</v>
      </c>
      <c r="I8" s="674">
        <v>0</v>
      </c>
      <c r="J8" s="600"/>
      <c r="K8" s="600"/>
      <c r="L8" s="600"/>
      <c r="M8" s="600"/>
      <c r="N8" s="600"/>
      <c r="O8" s="600"/>
      <c r="P8" s="600"/>
      <c r="Q8" s="600"/>
      <c r="R8" s="600"/>
      <c r="S8" s="600"/>
      <c r="T8" s="600"/>
      <c r="U8" s="600"/>
      <c r="V8" s="600"/>
      <c r="W8" s="600"/>
      <c r="X8" s="600"/>
      <c r="Y8" s="600"/>
      <c r="Z8" s="600"/>
      <c r="AA8" s="600"/>
    </row>
    <row r="9" spans="1:27" x14ac:dyDescent="0.25">
      <c r="A9" s="532" t="s">
        <v>1419</v>
      </c>
      <c r="B9" s="585">
        <v>3</v>
      </c>
      <c r="C9" s="92" t="s">
        <v>266</v>
      </c>
      <c r="D9" s="585" t="s">
        <v>1419</v>
      </c>
      <c r="E9" s="585"/>
      <c r="F9" s="805">
        <f t="shared" ref="F9:H9" si="2">SUM(F10:F16)</f>
        <v>0</v>
      </c>
      <c r="G9" s="805">
        <f t="shared" si="2"/>
        <v>0</v>
      </c>
      <c r="H9" s="805">
        <f t="shared" si="2"/>
        <v>0</v>
      </c>
      <c r="I9" s="512"/>
      <c r="J9" s="600"/>
      <c r="K9" s="600"/>
      <c r="L9" s="600"/>
      <c r="M9" s="600"/>
      <c r="N9" s="600"/>
      <c r="O9" s="600"/>
      <c r="P9" s="600"/>
      <c r="Q9" s="600"/>
      <c r="R9" s="600"/>
      <c r="S9" s="600"/>
      <c r="T9" s="600"/>
      <c r="U9" s="600"/>
      <c r="V9" s="600"/>
      <c r="W9" s="600"/>
      <c r="X9" s="600"/>
      <c r="Y9" s="600"/>
      <c r="Z9" s="600"/>
      <c r="AA9" s="600"/>
    </row>
    <row r="10" spans="1:27" x14ac:dyDescent="0.25">
      <c r="A10" s="396"/>
      <c r="B10" s="731" t="s">
        <v>210</v>
      </c>
      <c r="C10" s="255" t="s">
        <v>331</v>
      </c>
      <c r="D10" s="731"/>
      <c r="E10" s="731"/>
      <c r="F10" s="52">
        <v>0</v>
      </c>
      <c r="G10" s="52">
        <f t="shared" ref="G10:G16" si="3">F10*10%</f>
        <v>0</v>
      </c>
      <c r="H10" s="52">
        <f t="shared" ref="H10:H16" si="4">F10+G10</f>
        <v>0</v>
      </c>
      <c r="I10" s="674"/>
      <c r="J10" s="600"/>
      <c r="K10" s="600"/>
      <c r="L10" s="600"/>
      <c r="M10" s="600"/>
      <c r="N10" s="600"/>
      <c r="O10" s="600"/>
      <c r="P10" s="600"/>
      <c r="Q10" s="600"/>
      <c r="R10" s="600"/>
      <c r="S10" s="600"/>
      <c r="T10" s="600"/>
      <c r="U10" s="600"/>
      <c r="V10" s="600"/>
      <c r="W10" s="600"/>
      <c r="X10" s="600"/>
      <c r="Y10" s="600"/>
      <c r="Z10" s="600"/>
      <c r="AA10" s="600"/>
    </row>
    <row r="11" spans="1:27" x14ac:dyDescent="0.25">
      <c r="A11" s="396"/>
      <c r="B11" s="731" t="s">
        <v>579</v>
      </c>
      <c r="C11" s="255" t="s">
        <v>232</v>
      </c>
      <c r="D11" s="731"/>
      <c r="E11" s="731"/>
      <c r="F11" s="52">
        <v>0</v>
      </c>
      <c r="G11" s="52">
        <f t="shared" si="3"/>
        <v>0</v>
      </c>
      <c r="H11" s="52">
        <f t="shared" si="4"/>
        <v>0</v>
      </c>
      <c r="I11" s="674"/>
      <c r="J11" s="600"/>
      <c r="K11" s="600"/>
      <c r="L11" s="600"/>
      <c r="M11" s="600"/>
      <c r="N11" s="600"/>
      <c r="O11" s="600"/>
      <c r="P11" s="600"/>
      <c r="Q11" s="600"/>
      <c r="R11" s="600"/>
      <c r="S11" s="600"/>
      <c r="T11" s="600"/>
      <c r="U11" s="600"/>
      <c r="V11" s="600"/>
      <c r="W11" s="600"/>
      <c r="X11" s="600"/>
      <c r="Y11" s="600"/>
      <c r="Z11" s="600"/>
      <c r="AA11" s="600"/>
    </row>
    <row r="12" spans="1:27" x14ac:dyDescent="0.25">
      <c r="A12" s="396"/>
      <c r="B12" s="731" t="s">
        <v>996</v>
      </c>
      <c r="C12" s="255" t="s">
        <v>305</v>
      </c>
      <c r="D12" s="731"/>
      <c r="E12" s="731"/>
      <c r="F12" s="52">
        <v>0</v>
      </c>
      <c r="G12" s="52">
        <f t="shared" si="3"/>
        <v>0</v>
      </c>
      <c r="H12" s="52">
        <f t="shared" si="4"/>
        <v>0</v>
      </c>
      <c r="I12" s="674"/>
      <c r="J12" s="600"/>
      <c r="K12" s="600"/>
      <c r="L12" s="600"/>
      <c r="M12" s="600"/>
      <c r="N12" s="600"/>
      <c r="O12" s="600"/>
      <c r="P12" s="600"/>
      <c r="Q12" s="600"/>
      <c r="R12" s="600"/>
      <c r="S12" s="600"/>
      <c r="T12" s="600"/>
      <c r="U12" s="600"/>
      <c r="V12" s="600"/>
      <c r="W12" s="600"/>
      <c r="X12" s="600"/>
      <c r="Y12" s="600"/>
      <c r="Z12" s="600"/>
      <c r="AA12" s="600"/>
    </row>
    <row r="13" spans="1:27" ht="30" x14ac:dyDescent="0.25">
      <c r="A13" s="396"/>
      <c r="B13" s="731" t="s">
        <v>1379</v>
      </c>
      <c r="C13" s="255" t="s">
        <v>494</v>
      </c>
      <c r="D13" s="731"/>
      <c r="E13" s="731"/>
      <c r="F13" s="52">
        <v>0</v>
      </c>
      <c r="G13" s="52">
        <f t="shared" si="3"/>
        <v>0</v>
      </c>
      <c r="H13" s="52">
        <f t="shared" si="4"/>
        <v>0</v>
      </c>
      <c r="I13" s="674"/>
      <c r="J13" s="600"/>
      <c r="K13" s="600"/>
      <c r="L13" s="600"/>
      <c r="M13" s="600"/>
      <c r="N13" s="600"/>
      <c r="O13" s="600"/>
      <c r="P13" s="600"/>
      <c r="Q13" s="600"/>
      <c r="R13" s="600"/>
      <c r="S13" s="600"/>
      <c r="T13" s="600"/>
      <c r="U13" s="600"/>
      <c r="V13" s="600"/>
      <c r="W13" s="600"/>
      <c r="X13" s="600"/>
      <c r="Y13" s="600"/>
      <c r="Z13" s="600"/>
      <c r="AA13" s="600"/>
    </row>
    <row r="14" spans="1:27" x14ac:dyDescent="0.25">
      <c r="A14" s="396"/>
      <c r="B14" s="731" t="s">
        <v>1353</v>
      </c>
      <c r="C14" s="255" t="s">
        <v>637</v>
      </c>
      <c r="D14" s="731"/>
      <c r="E14" s="731"/>
      <c r="F14" s="52">
        <v>0</v>
      </c>
      <c r="G14" s="52">
        <f t="shared" si="3"/>
        <v>0</v>
      </c>
      <c r="H14" s="52">
        <f t="shared" si="4"/>
        <v>0</v>
      </c>
      <c r="I14" s="674"/>
      <c r="J14" s="600"/>
      <c r="K14" s="600"/>
      <c r="L14" s="600"/>
      <c r="M14" s="600"/>
      <c r="N14" s="600"/>
      <c r="O14" s="600"/>
      <c r="P14" s="600"/>
      <c r="Q14" s="600"/>
      <c r="R14" s="600"/>
      <c r="S14" s="600"/>
      <c r="T14" s="600"/>
      <c r="U14" s="600"/>
      <c r="V14" s="600"/>
      <c r="W14" s="600"/>
      <c r="X14" s="600"/>
      <c r="Y14" s="600"/>
      <c r="Z14" s="600"/>
      <c r="AA14" s="600"/>
    </row>
    <row r="15" spans="1:27" x14ac:dyDescent="0.25">
      <c r="A15" s="396"/>
      <c r="B15" s="731" t="s">
        <v>252</v>
      </c>
      <c r="C15" s="255" t="s">
        <v>459</v>
      </c>
      <c r="D15" s="731"/>
      <c r="E15" s="731"/>
      <c r="F15" s="52">
        <v>0</v>
      </c>
      <c r="G15" s="52">
        <f t="shared" si="3"/>
        <v>0</v>
      </c>
      <c r="H15" s="52">
        <f t="shared" si="4"/>
        <v>0</v>
      </c>
      <c r="I15" s="674"/>
      <c r="J15" s="600"/>
      <c r="K15" s="600"/>
      <c r="L15" s="600"/>
      <c r="M15" s="600"/>
      <c r="N15" s="600"/>
      <c r="O15" s="600"/>
      <c r="P15" s="600"/>
      <c r="Q15" s="600"/>
      <c r="R15" s="600"/>
      <c r="S15" s="600"/>
      <c r="T15" s="600"/>
      <c r="U15" s="600"/>
      <c r="V15" s="600"/>
      <c r="W15" s="600"/>
      <c r="X15" s="600"/>
      <c r="Y15" s="600"/>
      <c r="Z15" s="600"/>
      <c r="AA15" s="600"/>
    </row>
    <row r="16" spans="1:27" x14ac:dyDescent="0.25">
      <c r="A16" s="396"/>
      <c r="B16" s="731" t="s">
        <v>627</v>
      </c>
      <c r="C16" s="255" t="s">
        <v>700</v>
      </c>
      <c r="D16" s="731"/>
      <c r="E16" s="731"/>
      <c r="F16" s="52">
        <v>0</v>
      </c>
      <c r="G16" s="52">
        <f t="shared" si="3"/>
        <v>0</v>
      </c>
      <c r="H16" s="52">
        <f t="shared" si="4"/>
        <v>0</v>
      </c>
      <c r="I16" s="674"/>
      <c r="J16" s="600"/>
      <c r="K16" s="600"/>
      <c r="L16" s="600"/>
      <c r="M16" s="600"/>
      <c r="N16" s="600"/>
      <c r="O16" s="600"/>
      <c r="P16" s="600"/>
      <c r="Q16" s="600"/>
      <c r="R16" s="600"/>
      <c r="S16" s="600"/>
      <c r="T16" s="600"/>
      <c r="U16" s="600"/>
      <c r="V16" s="600"/>
      <c r="W16" s="600"/>
      <c r="X16" s="600"/>
      <c r="Y16" s="600"/>
      <c r="Z16" s="600"/>
      <c r="AA16" s="600"/>
    </row>
    <row r="17" spans="1:27" x14ac:dyDescent="0.25">
      <c r="A17" s="177" t="s">
        <v>512</v>
      </c>
      <c r="B17" s="218"/>
      <c r="C17" s="669" t="s">
        <v>929</v>
      </c>
      <c r="D17" s="218" t="s">
        <v>922</v>
      </c>
      <c r="E17" s="218"/>
      <c r="F17" s="820">
        <f t="shared" ref="F17:H17" si="5">F5+F7+F9</f>
        <v>0</v>
      </c>
      <c r="G17" s="820">
        <f t="shared" si="5"/>
        <v>0</v>
      </c>
      <c r="H17" s="820">
        <f t="shared" si="5"/>
        <v>0</v>
      </c>
      <c r="I17" s="159"/>
      <c r="J17" s="600"/>
      <c r="K17" s="600"/>
      <c r="L17" s="600"/>
      <c r="M17" s="600"/>
      <c r="N17" s="600"/>
      <c r="O17" s="600"/>
      <c r="P17" s="600"/>
      <c r="Q17" s="600"/>
      <c r="R17" s="600"/>
      <c r="S17" s="600"/>
      <c r="T17" s="600"/>
      <c r="U17" s="600"/>
      <c r="V17" s="600"/>
      <c r="W17" s="600"/>
      <c r="X17" s="600"/>
      <c r="Y17" s="600"/>
      <c r="Z17" s="600"/>
      <c r="AA17" s="600"/>
    </row>
    <row r="18" spans="1:27" x14ac:dyDescent="0.25">
      <c r="A18" s="827"/>
      <c r="B18" s="264"/>
      <c r="C18" s="701"/>
      <c r="D18" s="264"/>
      <c r="E18" s="264"/>
      <c r="F18" s="492"/>
      <c r="G18" s="492"/>
      <c r="H18" s="492"/>
      <c r="I18" s="200"/>
      <c r="J18" s="600"/>
      <c r="K18" s="600"/>
      <c r="L18" s="600"/>
      <c r="M18" s="600"/>
      <c r="N18" s="600"/>
      <c r="O18" s="600"/>
      <c r="P18" s="600"/>
      <c r="Q18" s="600"/>
      <c r="R18" s="600"/>
      <c r="S18" s="600"/>
      <c r="T18" s="600"/>
      <c r="U18" s="600"/>
      <c r="V18" s="600"/>
      <c r="W18" s="600"/>
      <c r="X18" s="600"/>
      <c r="Y18" s="600"/>
      <c r="Z18" s="600"/>
      <c r="AA18" s="600"/>
    </row>
    <row r="19" spans="1:27" x14ac:dyDescent="0.25">
      <c r="B19" s="600"/>
      <c r="C19" s="600"/>
      <c r="D19" s="600"/>
      <c r="E19" s="600"/>
      <c r="F19" s="600"/>
      <c r="G19" s="600"/>
      <c r="H19" s="600"/>
      <c r="I19" s="600"/>
      <c r="J19" s="600"/>
      <c r="K19" s="600"/>
      <c r="L19" s="600"/>
      <c r="M19" s="600"/>
      <c r="N19" s="600"/>
      <c r="O19" s="600"/>
      <c r="P19" s="600"/>
      <c r="Q19" s="600"/>
      <c r="R19" s="600"/>
      <c r="S19" s="600"/>
      <c r="T19" s="600"/>
      <c r="U19" s="600"/>
      <c r="V19" s="600"/>
      <c r="W19" s="600"/>
      <c r="X19" s="600"/>
      <c r="Y19" s="600"/>
      <c r="Z19" s="600"/>
      <c r="AA19" s="600"/>
    </row>
    <row r="20" spans="1:27" x14ac:dyDescent="0.25">
      <c r="B20" s="600"/>
      <c r="C20" s="600"/>
      <c r="D20" s="600"/>
      <c r="E20" s="600"/>
      <c r="F20" s="600"/>
      <c r="G20" s="600"/>
      <c r="H20" s="600"/>
      <c r="I20" s="600"/>
      <c r="J20" s="600"/>
      <c r="K20" s="600"/>
      <c r="L20" s="600"/>
      <c r="M20" s="600"/>
      <c r="N20" s="600"/>
      <c r="O20" s="600"/>
      <c r="P20" s="600"/>
      <c r="Q20" s="600"/>
      <c r="R20" s="600"/>
      <c r="S20" s="600"/>
      <c r="T20" s="600"/>
      <c r="U20" s="600"/>
      <c r="V20" s="600"/>
      <c r="W20" s="600"/>
      <c r="X20" s="600"/>
      <c r="Y20" s="600"/>
      <c r="Z20" s="600"/>
      <c r="AA20" s="600"/>
    </row>
  </sheetData>
  <mergeCells count="3">
    <mergeCell ref="A1:I1"/>
    <mergeCell ref="A2:I2"/>
    <mergeCell ref="A3:I3"/>
  </mergeCells>
  <pageMargins left="0.60000000000000009" right="0.60000000000000009" top="0.75" bottom="0.75" header="0.3" footer="0.3"/>
  <pageSetup scale="95" orientation="landscape"/>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indexed="22"/>
  </sheetPr>
  <dimension ref="A4:N35"/>
  <sheetViews>
    <sheetView showZeros="0" workbookViewId="0">
      <selection sqref="A1:D1"/>
    </sheetView>
  </sheetViews>
  <sheetFormatPr defaultColWidth="9.42578125" defaultRowHeight="15" x14ac:dyDescent="0.25"/>
  <cols>
    <col min="3" max="3" width="25" customWidth="1"/>
  </cols>
  <sheetData>
    <row r="4" spans="1:14" x14ac:dyDescent="0.25">
      <c r="A4" s="53"/>
      <c r="B4" s="53"/>
      <c r="C4" s="53"/>
      <c r="D4" s="53"/>
      <c r="E4" s="53"/>
      <c r="F4" s="53"/>
      <c r="G4" s="53"/>
      <c r="H4" s="53"/>
      <c r="I4" s="53"/>
      <c r="J4" s="53"/>
      <c r="K4" s="53"/>
      <c r="L4" s="53"/>
      <c r="M4" s="53"/>
      <c r="N4" s="53"/>
    </row>
    <row r="5" spans="1:14" x14ac:dyDescent="0.25">
      <c r="A5" s="1226" t="s">
        <v>1183</v>
      </c>
      <c r="B5" s="1226"/>
      <c r="C5" s="1226"/>
      <c r="D5" s="53"/>
      <c r="E5" s="1226" t="s">
        <v>1434</v>
      </c>
      <c r="F5" s="1226"/>
      <c r="G5" s="1226"/>
      <c r="H5" s="1226"/>
      <c r="I5" s="1226"/>
      <c r="J5" s="1226"/>
      <c r="K5" s="1226"/>
      <c r="L5" s="1226"/>
      <c r="M5" s="1226"/>
      <c r="N5" s="1226"/>
    </row>
    <row r="6" spans="1:14" x14ac:dyDescent="0.25">
      <c r="A6" s="1230" t="s">
        <v>26</v>
      </c>
      <c r="B6" s="1231"/>
      <c r="C6" s="1231"/>
      <c r="D6" s="53"/>
      <c r="E6" s="1226" t="s">
        <v>189</v>
      </c>
      <c r="F6" s="1226"/>
      <c r="G6" s="1226"/>
      <c r="H6" s="1226"/>
      <c r="I6" s="1226"/>
      <c r="J6" s="1226"/>
      <c r="K6" s="1226"/>
      <c r="L6" s="1226"/>
      <c r="M6" s="1226"/>
      <c r="N6" s="1226"/>
    </row>
    <row r="7" spans="1:14" x14ac:dyDescent="0.25">
      <c r="A7" s="1232" t="s">
        <v>504</v>
      </c>
      <c r="B7" s="1232"/>
      <c r="C7" s="1232"/>
      <c r="D7" s="53"/>
      <c r="E7" s="1232" t="s">
        <v>968</v>
      </c>
      <c r="F7" s="1232"/>
      <c r="G7" s="1232"/>
      <c r="H7" s="1232"/>
      <c r="I7" s="1232"/>
      <c r="J7" s="1232"/>
      <c r="K7" s="1232"/>
      <c r="L7" s="1232"/>
      <c r="M7" s="1232"/>
      <c r="N7" s="1232"/>
    </row>
    <row r="8" spans="1:14" x14ac:dyDescent="0.25">
      <c r="A8" s="53"/>
      <c r="B8" s="53"/>
      <c r="C8" s="53"/>
      <c r="D8" s="53"/>
      <c r="E8" s="53"/>
      <c r="F8" s="53"/>
      <c r="G8" s="53"/>
      <c r="H8" s="53"/>
      <c r="I8" s="53"/>
      <c r="J8" s="53"/>
      <c r="K8" s="53"/>
      <c r="L8" s="53"/>
      <c r="M8" s="53"/>
      <c r="N8" s="53"/>
    </row>
    <row r="9" spans="1:14" x14ac:dyDescent="0.25">
      <c r="A9" s="53"/>
      <c r="B9" s="53"/>
      <c r="C9" s="53"/>
      <c r="D9" s="53"/>
      <c r="E9" s="53"/>
      <c r="F9" s="53"/>
      <c r="G9" s="53"/>
      <c r="H9" s="53"/>
      <c r="I9" s="53"/>
      <c r="J9" s="53"/>
      <c r="K9" s="53"/>
      <c r="L9" s="53"/>
      <c r="M9" s="53"/>
      <c r="N9" s="53"/>
    </row>
    <row r="10" spans="1:14" x14ac:dyDescent="0.25">
      <c r="A10" s="53"/>
      <c r="B10" s="53"/>
      <c r="C10" s="53"/>
      <c r="D10" s="53"/>
      <c r="E10" s="53"/>
      <c r="F10" s="53"/>
      <c r="G10" s="53"/>
      <c r="H10" s="53"/>
      <c r="I10" s="53"/>
      <c r="J10" s="53"/>
      <c r="K10" s="53"/>
      <c r="L10" s="53"/>
      <c r="M10" s="53"/>
      <c r="N10" s="53"/>
    </row>
    <row r="11" spans="1:14" x14ac:dyDescent="0.25">
      <c r="A11" s="53"/>
      <c r="B11" s="53"/>
      <c r="C11" s="53"/>
      <c r="D11" s="53"/>
      <c r="E11" s="53"/>
      <c r="F11" s="53"/>
      <c r="G11" s="53"/>
      <c r="H11" s="53"/>
      <c r="I11" s="53"/>
      <c r="J11" s="53"/>
      <c r="K11" s="53"/>
      <c r="L11" s="53"/>
      <c r="M11" s="53"/>
      <c r="N11" s="53"/>
    </row>
    <row r="12" spans="1:14" x14ac:dyDescent="0.25">
      <c r="A12" s="53"/>
      <c r="B12" s="53"/>
      <c r="C12" s="53"/>
      <c r="D12" s="53"/>
      <c r="E12" s="53"/>
      <c r="F12" s="53"/>
      <c r="G12" s="53"/>
      <c r="H12" s="53"/>
      <c r="I12" s="53"/>
      <c r="J12" s="53"/>
      <c r="K12" s="53"/>
      <c r="L12" s="53"/>
      <c r="M12" s="53"/>
      <c r="N12" s="53"/>
    </row>
    <row r="13" spans="1:14" x14ac:dyDescent="0.25">
      <c r="A13" s="53"/>
      <c r="B13" s="53"/>
      <c r="C13" s="53"/>
      <c r="D13" s="53"/>
      <c r="E13" s="53"/>
      <c r="F13" s="53"/>
      <c r="G13" s="53"/>
      <c r="H13" s="53"/>
      <c r="I13" s="53"/>
      <c r="J13" s="53"/>
      <c r="K13" s="53"/>
      <c r="L13" s="53"/>
      <c r="M13" s="53"/>
      <c r="N13" s="53"/>
    </row>
    <row r="14" spans="1:14" x14ac:dyDescent="0.25">
      <c r="A14" s="53"/>
      <c r="B14" s="53"/>
      <c r="C14" s="53"/>
      <c r="D14" s="53"/>
      <c r="E14" s="53"/>
      <c r="F14" s="53"/>
      <c r="G14" s="53"/>
      <c r="H14" s="53"/>
      <c r="I14" s="53"/>
      <c r="J14" s="53"/>
      <c r="K14" s="53"/>
      <c r="L14" s="53"/>
      <c r="M14" s="53"/>
      <c r="N14" s="53"/>
    </row>
    <row r="15" spans="1:14" x14ac:dyDescent="0.25">
      <c r="A15" s="53"/>
      <c r="B15" s="53"/>
      <c r="C15" s="53"/>
      <c r="D15" s="53"/>
      <c r="E15" s="53"/>
      <c r="F15" s="53"/>
      <c r="G15" s="53"/>
      <c r="H15" s="53"/>
      <c r="I15" s="53"/>
      <c r="J15" s="53"/>
      <c r="K15" s="53"/>
      <c r="L15" s="53"/>
      <c r="M15" s="53"/>
      <c r="N15" s="53"/>
    </row>
    <row r="16" spans="1:14" ht="25.5" x14ac:dyDescent="0.25">
      <c r="A16" s="1227" t="s">
        <v>204</v>
      </c>
      <c r="B16" s="1227"/>
      <c r="C16" s="1227"/>
      <c r="D16" s="1227"/>
      <c r="E16" s="1227"/>
      <c r="F16" s="1227"/>
      <c r="G16" s="1227"/>
      <c r="H16" s="1227"/>
      <c r="I16" s="1227"/>
      <c r="J16" s="1227"/>
      <c r="K16" s="1227"/>
      <c r="L16" s="1227"/>
      <c r="M16" s="1227"/>
      <c r="N16" s="1227"/>
    </row>
    <row r="17" spans="1:14" x14ac:dyDescent="0.25">
      <c r="A17" s="53"/>
      <c r="B17" s="53"/>
      <c r="C17" s="53"/>
      <c r="D17" s="53"/>
      <c r="E17" s="53"/>
      <c r="F17" s="53"/>
      <c r="G17" s="53"/>
      <c r="H17" s="53"/>
      <c r="I17" s="53"/>
      <c r="J17" s="53"/>
      <c r="K17" s="53"/>
      <c r="L17" s="53"/>
      <c r="M17" s="53"/>
      <c r="N17" s="53"/>
    </row>
    <row r="18" spans="1:14" ht="18.75" x14ac:dyDescent="0.25">
      <c r="A18" s="1228" t="s">
        <v>27</v>
      </c>
      <c r="B18" s="1228"/>
      <c r="C18" s="1228"/>
      <c r="D18" s="1228"/>
      <c r="E18" s="1228"/>
      <c r="F18" s="1228"/>
      <c r="G18" s="1228"/>
      <c r="H18" s="1228"/>
      <c r="I18" s="1228"/>
      <c r="J18" s="1228"/>
      <c r="K18" s="1228"/>
      <c r="L18" s="1228"/>
      <c r="M18" s="1228"/>
      <c r="N18" s="1228"/>
    </row>
    <row r="19" spans="1:14" x14ac:dyDescent="0.25">
      <c r="A19" s="53"/>
      <c r="B19" s="53"/>
      <c r="C19" s="53"/>
      <c r="D19" s="53"/>
      <c r="E19" s="53"/>
      <c r="F19" s="53"/>
      <c r="G19" s="53"/>
      <c r="H19" s="53"/>
      <c r="I19" s="53"/>
      <c r="J19" s="53"/>
      <c r="K19" s="53"/>
      <c r="L19" s="53"/>
      <c r="M19" s="53"/>
      <c r="N19" s="53"/>
    </row>
    <row r="20" spans="1:14" ht="18.75" x14ac:dyDescent="0.25">
      <c r="A20" s="53"/>
      <c r="B20" s="53"/>
      <c r="C20" s="457" t="s">
        <v>1376</v>
      </c>
      <c r="D20" s="1229" t="s">
        <v>1271</v>
      </c>
      <c r="E20" s="1229"/>
      <c r="F20" s="1229"/>
      <c r="G20" s="1229"/>
      <c r="H20" s="1229"/>
      <c r="I20" s="1229"/>
      <c r="J20" s="1229"/>
      <c r="K20" s="1229"/>
      <c r="L20" s="1229"/>
      <c r="M20" s="1229"/>
      <c r="N20" s="1229"/>
    </row>
    <row r="21" spans="1:14" ht="18.75" x14ac:dyDescent="0.25">
      <c r="A21" s="53"/>
      <c r="B21" s="53"/>
      <c r="C21" s="457" t="s">
        <v>338</v>
      </c>
      <c r="D21" s="1229" t="s">
        <v>1282</v>
      </c>
      <c r="E21" s="1229"/>
      <c r="F21" s="1229"/>
      <c r="G21" s="1229"/>
      <c r="H21" s="1229"/>
      <c r="I21" s="1229"/>
      <c r="J21" s="1229"/>
      <c r="K21" s="1229"/>
      <c r="L21" s="1229"/>
      <c r="M21" s="1229"/>
      <c r="N21" s="1229"/>
    </row>
    <row r="22" spans="1:14" ht="18.75" x14ac:dyDescent="0.25">
      <c r="A22" s="53"/>
      <c r="B22" s="53"/>
      <c r="C22" s="457" t="s">
        <v>1237</v>
      </c>
      <c r="D22" s="1229" t="s">
        <v>378</v>
      </c>
      <c r="E22" s="1229"/>
      <c r="F22" s="1229"/>
      <c r="G22" s="1229"/>
      <c r="H22" s="1229"/>
      <c r="I22" s="1229"/>
      <c r="J22" s="1229"/>
      <c r="K22" s="1229"/>
      <c r="L22" s="1229"/>
      <c r="M22" s="1229"/>
      <c r="N22" s="1229"/>
    </row>
    <row r="23" spans="1:14" ht="18.75" x14ac:dyDescent="0.25">
      <c r="A23" s="53"/>
      <c r="B23" s="53"/>
      <c r="C23" s="457" t="s">
        <v>410</v>
      </c>
      <c r="D23" s="1229" t="s">
        <v>120</v>
      </c>
      <c r="E23" s="1229"/>
      <c r="F23" s="1229"/>
      <c r="G23" s="1229"/>
      <c r="H23" s="1229"/>
      <c r="I23" s="1229"/>
      <c r="J23" s="1229"/>
      <c r="K23" s="1229"/>
      <c r="L23" s="1229"/>
      <c r="M23" s="1229"/>
      <c r="N23" s="1229"/>
    </row>
    <row r="24" spans="1:14" x14ac:dyDescent="0.25">
      <c r="A24" s="53"/>
      <c r="B24" s="53"/>
      <c r="C24" s="53"/>
      <c r="D24" s="53"/>
      <c r="E24" s="53"/>
      <c r="F24" s="53"/>
      <c r="G24" s="53"/>
      <c r="H24" s="53"/>
      <c r="I24" s="53"/>
      <c r="J24" s="53"/>
      <c r="K24" s="53"/>
      <c r="L24" s="53"/>
      <c r="M24" s="53"/>
      <c r="N24" s="53"/>
    </row>
    <row r="25" spans="1:14" x14ac:dyDescent="0.25">
      <c r="A25" s="53"/>
      <c r="B25" s="53"/>
      <c r="C25" s="53"/>
      <c r="D25" s="53"/>
      <c r="E25" s="53"/>
      <c r="F25" s="53"/>
      <c r="G25" s="53"/>
      <c r="H25" s="53"/>
      <c r="I25" s="53"/>
      <c r="J25" s="53"/>
      <c r="K25" s="53"/>
      <c r="L25" s="53"/>
      <c r="M25" s="53"/>
      <c r="N25" s="53"/>
    </row>
    <row r="26" spans="1:14" x14ac:dyDescent="0.25">
      <c r="A26" s="53"/>
      <c r="B26" s="53"/>
      <c r="C26" s="53"/>
      <c r="D26" s="53"/>
      <c r="E26" s="53"/>
      <c r="F26" s="53"/>
      <c r="G26" s="53"/>
      <c r="H26" s="53"/>
      <c r="I26" s="53"/>
      <c r="J26" s="53"/>
      <c r="K26" s="53"/>
      <c r="L26" s="53"/>
      <c r="M26" s="53"/>
      <c r="N26" s="53"/>
    </row>
    <row r="27" spans="1:14" x14ac:dyDescent="0.25">
      <c r="A27" s="53"/>
      <c r="B27" s="53"/>
      <c r="C27" s="53"/>
      <c r="D27" s="53"/>
      <c r="E27" s="53"/>
      <c r="F27" s="53"/>
      <c r="G27" s="53"/>
      <c r="H27" s="53"/>
      <c r="I27" s="53"/>
      <c r="J27" s="53"/>
      <c r="K27" s="53"/>
      <c r="L27" s="53"/>
      <c r="M27" s="53"/>
      <c r="N27" s="53"/>
    </row>
    <row r="28" spans="1:14" x14ac:dyDescent="0.25">
      <c r="A28" s="53"/>
      <c r="B28" s="53"/>
      <c r="C28" s="53"/>
      <c r="D28" s="53"/>
      <c r="E28" s="53"/>
      <c r="F28" s="53"/>
      <c r="G28" s="53"/>
      <c r="H28" s="53"/>
      <c r="I28" s="53"/>
      <c r="J28" s="53"/>
      <c r="K28" s="53"/>
      <c r="L28" s="53"/>
      <c r="M28" s="53"/>
      <c r="N28" s="53"/>
    </row>
    <row r="29" spans="1:14" x14ac:dyDescent="0.25">
      <c r="A29" s="53"/>
      <c r="B29" s="53"/>
      <c r="C29" s="53"/>
      <c r="D29" s="53"/>
      <c r="E29" s="53"/>
      <c r="F29" s="53"/>
      <c r="G29" s="53"/>
      <c r="H29" s="53"/>
      <c r="I29" s="53"/>
      <c r="J29" s="53"/>
      <c r="K29" s="53"/>
      <c r="L29" s="53"/>
      <c r="M29" s="53"/>
      <c r="N29" s="53"/>
    </row>
    <row r="30" spans="1:14" x14ac:dyDescent="0.25">
      <c r="A30" s="53"/>
      <c r="B30" s="53"/>
      <c r="C30" s="53"/>
      <c r="D30" s="53"/>
      <c r="E30" s="53"/>
      <c r="F30" s="53"/>
      <c r="G30" s="53"/>
      <c r="H30" s="53"/>
      <c r="I30" s="53"/>
      <c r="J30" s="53"/>
      <c r="K30" s="53"/>
      <c r="L30" s="53"/>
      <c r="M30" s="53"/>
      <c r="N30" s="53"/>
    </row>
    <row r="31" spans="1:14" x14ac:dyDescent="0.25">
      <c r="A31" s="53"/>
      <c r="B31" s="53"/>
      <c r="C31" s="53"/>
      <c r="D31" s="53"/>
      <c r="E31" s="53"/>
      <c r="F31" s="53"/>
      <c r="G31" s="53"/>
      <c r="H31" s="53"/>
      <c r="I31" s="53"/>
      <c r="J31" s="53"/>
      <c r="K31" s="53"/>
      <c r="L31" s="53"/>
      <c r="M31" s="53"/>
      <c r="N31" s="53"/>
    </row>
    <row r="32" spans="1:14" x14ac:dyDescent="0.25">
      <c r="A32" s="53"/>
      <c r="B32" s="53"/>
      <c r="C32" s="53"/>
      <c r="D32" s="53"/>
      <c r="E32" s="53"/>
      <c r="F32" s="53"/>
      <c r="G32" s="53"/>
      <c r="H32" s="53"/>
      <c r="I32" s="53"/>
      <c r="J32" s="53"/>
      <c r="K32" s="53"/>
      <c r="L32" s="53"/>
      <c r="M32" s="53"/>
      <c r="N32" s="53"/>
    </row>
    <row r="33" spans="1:14" x14ac:dyDescent="0.25">
      <c r="A33" s="53"/>
      <c r="B33" s="53"/>
      <c r="C33" s="53"/>
      <c r="D33" s="53"/>
      <c r="E33" s="53"/>
      <c r="F33" s="53"/>
      <c r="G33" s="53"/>
      <c r="H33" s="53"/>
      <c r="I33" s="53"/>
      <c r="J33" s="53"/>
      <c r="K33" s="53"/>
      <c r="L33" s="53"/>
      <c r="M33" s="53"/>
      <c r="N33" s="53"/>
    </row>
    <row r="34" spans="1:14" x14ac:dyDescent="0.25">
      <c r="A34" s="53"/>
      <c r="B34" s="53"/>
      <c r="C34" s="53"/>
      <c r="D34" s="53"/>
      <c r="E34" s="53"/>
      <c r="F34" s="53"/>
      <c r="G34" s="53"/>
      <c r="H34" s="53"/>
      <c r="I34" s="53"/>
      <c r="J34" s="53"/>
      <c r="K34" s="53"/>
      <c r="L34" s="53"/>
      <c r="M34" s="53"/>
      <c r="N34" s="53"/>
    </row>
    <row r="35" spans="1:14" x14ac:dyDescent="0.25">
      <c r="A35" s="1226" t="s">
        <v>1146</v>
      </c>
      <c r="B35" s="1226"/>
      <c r="C35" s="1226"/>
      <c r="D35" s="1226"/>
      <c r="E35" s="1226"/>
      <c r="F35" s="1226"/>
      <c r="G35" s="1226"/>
      <c r="H35" s="1226"/>
      <c r="I35" s="1226"/>
      <c r="J35" s="1226"/>
      <c r="K35" s="1226"/>
      <c r="L35" s="1226"/>
      <c r="M35" s="1226"/>
      <c r="N35" s="1226"/>
    </row>
  </sheetData>
  <mergeCells count="13">
    <mergeCell ref="A5:C5"/>
    <mergeCell ref="E5:N5"/>
    <mergeCell ref="A6:C6"/>
    <mergeCell ref="E6:N6"/>
    <mergeCell ref="A7:C7"/>
    <mergeCell ref="E7:N7"/>
    <mergeCell ref="A35:N35"/>
    <mergeCell ref="A16:N16"/>
    <mergeCell ref="A18:N18"/>
    <mergeCell ref="D20:N20"/>
    <mergeCell ref="D21:N21"/>
    <mergeCell ref="D22:N22"/>
    <mergeCell ref="D23:N23"/>
  </mergeCells>
  <hyperlinks>
    <hyperlink ref="A6" r:id="rId1" xr:uid="{00000000-0004-0000-1D00-000000000000}"/>
  </hyperlinks>
  <pageMargins left="1.18" right="0.59" top="0.79" bottom="0.79" header="0.3" footer="0.3"/>
  <pageSetup paperSize="9" scale="85" orientation="landscape"/>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indexed="22"/>
  </sheetPr>
  <dimension ref="A1:N31"/>
  <sheetViews>
    <sheetView showZeros="0" workbookViewId="0">
      <selection sqref="A1:D1"/>
    </sheetView>
  </sheetViews>
  <sheetFormatPr defaultColWidth="9.42578125" defaultRowHeight="15" x14ac:dyDescent="0.25"/>
  <cols>
    <col min="3" max="3" width="23.28515625" customWidth="1"/>
    <col min="4" max="4" width="14" bestFit="1" customWidth="1"/>
  </cols>
  <sheetData>
    <row r="1" spans="1:14" x14ac:dyDescent="0.25">
      <c r="A1" s="53"/>
      <c r="B1" s="53"/>
      <c r="C1" s="53"/>
      <c r="D1" s="53"/>
      <c r="E1" s="53"/>
      <c r="F1" s="53"/>
      <c r="G1" s="53"/>
      <c r="H1" s="53"/>
      <c r="I1" s="53"/>
      <c r="J1" s="53"/>
      <c r="K1" s="53"/>
      <c r="L1" s="53"/>
      <c r="M1" s="53"/>
      <c r="N1" s="53"/>
    </row>
    <row r="2" spans="1:14" x14ac:dyDescent="0.25">
      <c r="A2" s="1226" t="s">
        <v>1183</v>
      </c>
      <c r="B2" s="1226"/>
      <c r="C2" s="1226"/>
      <c r="D2" s="53"/>
      <c r="E2" s="1226" t="s">
        <v>1434</v>
      </c>
      <c r="F2" s="1226"/>
      <c r="G2" s="1226"/>
      <c r="H2" s="1226"/>
      <c r="I2" s="1226"/>
      <c r="J2" s="1226"/>
      <c r="K2" s="1226"/>
      <c r="L2" s="1226"/>
      <c r="M2" s="1226"/>
      <c r="N2" s="1226"/>
    </row>
    <row r="3" spans="1:14" x14ac:dyDescent="0.25">
      <c r="A3" s="1230" t="s">
        <v>26</v>
      </c>
      <c r="B3" s="1231"/>
      <c r="C3" s="1231"/>
      <c r="D3" s="53"/>
      <c r="E3" s="1226" t="s">
        <v>189</v>
      </c>
      <c r="F3" s="1226"/>
      <c r="G3" s="1226"/>
      <c r="H3" s="1226"/>
      <c r="I3" s="1226"/>
      <c r="J3" s="1226"/>
      <c r="K3" s="1226"/>
      <c r="L3" s="1226"/>
      <c r="M3" s="1226"/>
      <c r="N3" s="1226"/>
    </row>
    <row r="4" spans="1:14" x14ac:dyDescent="0.25">
      <c r="A4" s="1232" t="s">
        <v>504</v>
      </c>
      <c r="B4" s="1232"/>
      <c r="C4" s="1232"/>
      <c r="D4" s="53"/>
      <c r="E4" s="1232" t="s">
        <v>968</v>
      </c>
      <c r="F4" s="1232"/>
      <c r="G4" s="1232"/>
      <c r="H4" s="1232"/>
      <c r="I4" s="1232"/>
      <c r="J4" s="1232"/>
      <c r="K4" s="1232"/>
      <c r="L4" s="1232"/>
      <c r="M4" s="1232"/>
      <c r="N4" s="1232"/>
    </row>
    <row r="5" spans="1:14" ht="15.75" x14ac:dyDescent="0.25">
      <c r="A5" s="1235" t="s">
        <v>27</v>
      </c>
      <c r="B5" s="1235"/>
      <c r="C5" s="1235"/>
      <c r="D5" s="53"/>
      <c r="E5" s="53"/>
      <c r="F5" s="53"/>
      <c r="G5" s="53"/>
      <c r="H5" s="53"/>
      <c r="I5" s="53"/>
      <c r="J5" s="53"/>
      <c r="K5" s="53"/>
      <c r="L5" s="53"/>
      <c r="M5" s="53"/>
      <c r="N5" s="53"/>
    </row>
    <row r="6" spans="1:14" x14ac:dyDescent="0.25">
      <c r="A6" s="53"/>
      <c r="B6" s="53"/>
      <c r="C6" s="53"/>
      <c r="D6" s="53"/>
      <c r="E6" s="53"/>
      <c r="F6" s="53"/>
      <c r="G6" s="53"/>
      <c r="H6" s="53"/>
      <c r="I6" s="53"/>
      <c r="J6" s="53"/>
      <c r="K6" s="53"/>
      <c r="L6" s="53"/>
      <c r="M6" s="53"/>
      <c r="N6" s="53"/>
    </row>
    <row r="7" spans="1:14" x14ac:dyDescent="0.25">
      <c r="A7" s="53"/>
      <c r="B7" s="53"/>
      <c r="C7" s="53"/>
      <c r="D7" s="53"/>
      <c r="E7" s="53"/>
      <c r="F7" s="53"/>
      <c r="G7" s="53"/>
      <c r="H7" s="53"/>
      <c r="I7" s="53"/>
      <c r="J7" s="53"/>
      <c r="K7" s="53"/>
      <c r="L7" s="53"/>
      <c r="M7" s="53"/>
      <c r="N7" s="53"/>
    </row>
    <row r="8" spans="1:14" x14ac:dyDescent="0.25">
      <c r="A8" s="53"/>
      <c r="B8" s="53"/>
      <c r="C8" s="53"/>
      <c r="D8" s="53"/>
      <c r="E8" s="53"/>
      <c r="F8" s="53"/>
      <c r="G8" s="53"/>
      <c r="H8" s="53"/>
      <c r="I8" s="53"/>
      <c r="J8" s="53"/>
      <c r="K8" s="53"/>
      <c r="L8" s="53"/>
      <c r="M8" s="53"/>
      <c r="N8" s="53"/>
    </row>
    <row r="9" spans="1:14" x14ac:dyDescent="0.25">
      <c r="A9" s="53"/>
      <c r="B9" s="53"/>
      <c r="C9" s="53"/>
      <c r="D9" s="53"/>
      <c r="E9" s="53"/>
      <c r="F9" s="53"/>
      <c r="G9" s="53"/>
      <c r="H9" s="53"/>
      <c r="I9" s="53"/>
      <c r="J9" s="53"/>
      <c r="K9" s="53"/>
      <c r="L9" s="53"/>
      <c r="M9" s="53"/>
      <c r="N9" s="53"/>
    </row>
    <row r="10" spans="1:14" x14ac:dyDescent="0.25">
      <c r="A10" s="53"/>
      <c r="B10" s="53"/>
      <c r="C10" s="53"/>
      <c r="D10" s="53"/>
      <c r="E10" s="53"/>
      <c r="F10" s="53"/>
      <c r="G10" s="53"/>
      <c r="H10" s="53"/>
      <c r="I10" s="53"/>
      <c r="J10" s="53"/>
      <c r="K10" s="53"/>
      <c r="L10" s="53"/>
      <c r="M10" s="53"/>
      <c r="N10" s="53"/>
    </row>
    <row r="11" spans="1:14" x14ac:dyDescent="0.25">
      <c r="A11" s="53"/>
      <c r="B11" s="53"/>
      <c r="C11" s="53"/>
      <c r="D11" s="53"/>
      <c r="E11" s="53"/>
      <c r="F11" s="53"/>
      <c r="G11" s="53"/>
      <c r="H11" s="53"/>
      <c r="I11" s="53"/>
      <c r="J11" s="53"/>
      <c r="K11" s="53"/>
      <c r="L11" s="53"/>
      <c r="M11" s="53"/>
      <c r="N11" s="53"/>
    </row>
    <row r="12" spans="1:14" x14ac:dyDescent="0.25">
      <c r="A12" s="53"/>
      <c r="B12" s="53"/>
      <c r="C12" s="53"/>
      <c r="D12" s="53"/>
      <c r="E12" s="53"/>
      <c r="F12" s="53"/>
      <c r="G12" s="53"/>
      <c r="H12" s="53"/>
      <c r="I12" s="53"/>
      <c r="J12" s="53"/>
      <c r="K12" s="53"/>
      <c r="L12" s="53"/>
      <c r="M12" s="53"/>
      <c r="N12" s="53"/>
    </row>
    <row r="13" spans="1:14" ht="25.5" x14ac:dyDescent="0.25">
      <c r="A13" s="1227" t="s">
        <v>204</v>
      </c>
      <c r="B13" s="1227"/>
      <c r="C13" s="1227"/>
      <c r="D13" s="1227"/>
      <c r="E13" s="1227"/>
      <c r="F13" s="1227"/>
      <c r="G13" s="1227"/>
      <c r="H13" s="1227"/>
      <c r="I13" s="1227"/>
      <c r="J13" s="1227"/>
      <c r="K13" s="1227"/>
      <c r="L13" s="1227"/>
      <c r="M13" s="1227"/>
      <c r="N13" s="1227"/>
    </row>
    <row r="14" spans="1:14" x14ac:dyDescent="0.25">
      <c r="A14" s="53"/>
      <c r="B14" s="53"/>
      <c r="C14" s="53"/>
      <c r="D14" s="53"/>
      <c r="E14" s="53"/>
      <c r="F14" s="53"/>
      <c r="G14" s="53"/>
      <c r="H14" s="53"/>
      <c r="I14" s="53"/>
      <c r="J14" s="53"/>
      <c r="K14" s="53"/>
      <c r="L14" s="53"/>
      <c r="M14" s="53"/>
      <c r="N14" s="53"/>
    </row>
    <row r="15" spans="1:14" ht="18.75" x14ac:dyDescent="0.25">
      <c r="A15" s="53"/>
      <c r="B15" s="53"/>
      <c r="C15" s="457" t="s">
        <v>1376</v>
      </c>
      <c r="D15" s="1229" t="s">
        <v>1271</v>
      </c>
      <c r="E15" s="1229"/>
      <c r="F15" s="1229"/>
      <c r="G15" s="1229"/>
      <c r="H15" s="1229"/>
      <c r="I15" s="1229"/>
      <c r="J15" s="1229"/>
      <c r="K15" s="1229"/>
      <c r="L15" s="1229"/>
      <c r="M15" s="1229"/>
      <c r="N15" s="1229"/>
    </row>
    <row r="16" spans="1:14" ht="18.75" x14ac:dyDescent="0.25">
      <c r="A16" s="53"/>
      <c r="B16" s="53"/>
      <c r="C16" s="457" t="s">
        <v>338</v>
      </c>
      <c r="D16" s="1229" t="s">
        <v>1282</v>
      </c>
      <c r="E16" s="1229"/>
      <c r="F16" s="1229"/>
      <c r="G16" s="1229"/>
      <c r="H16" s="1229"/>
      <c r="I16" s="1229"/>
      <c r="J16" s="1229"/>
      <c r="K16" s="1229"/>
      <c r="L16" s="1229"/>
      <c r="M16" s="1229"/>
      <c r="N16" s="1229"/>
    </row>
    <row r="17" spans="1:14" ht="18.75" x14ac:dyDescent="0.25">
      <c r="A17" s="53"/>
      <c r="B17" s="53"/>
      <c r="C17" s="457" t="s">
        <v>1237</v>
      </c>
      <c r="D17" s="1229" t="s">
        <v>378</v>
      </c>
      <c r="E17" s="1229"/>
      <c r="F17" s="1229"/>
      <c r="G17" s="1229"/>
      <c r="H17" s="1229"/>
      <c r="I17" s="1229"/>
      <c r="J17" s="1229"/>
      <c r="K17" s="1229"/>
      <c r="L17" s="1229"/>
      <c r="M17" s="1229"/>
      <c r="N17" s="1229"/>
    </row>
    <row r="18" spans="1:14" ht="18.75" x14ac:dyDescent="0.25">
      <c r="A18" s="53"/>
      <c r="B18" s="53"/>
      <c r="C18" s="457" t="s">
        <v>410</v>
      </c>
      <c r="D18" s="1229" t="s">
        <v>120</v>
      </c>
      <c r="E18" s="1229"/>
      <c r="F18" s="1229"/>
      <c r="G18" s="1229"/>
      <c r="H18" s="1229"/>
      <c r="I18" s="1229"/>
      <c r="J18" s="1229"/>
      <c r="K18" s="1229"/>
      <c r="L18" s="1229"/>
      <c r="M18" s="1229"/>
      <c r="N18" s="1229"/>
    </row>
    <row r="19" spans="1:14" x14ac:dyDescent="0.25">
      <c r="A19" s="53"/>
      <c r="B19" s="53"/>
      <c r="C19" s="53"/>
      <c r="D19" s="53"/>
      <c r="E19" s="53"/>
      <c r="F19" s="53"/>
      <c r="G19" s="53"/>
      <c r="H19" s="53"/>
      <c r="I19" s="53"/>
      <c r="J19" s="53"/>
      <c r="K19" s="53"/>
      <c r="L19" s="53"/>
      <c r="M19" s="53"/>
      <c r="N19" s="53"/>
    </row>
    <row r="20" spans="1:14" ht="19.5" x14ac:dyDescent="0.25">
      <c r="A20" s="53"/>
      <c r="B20" s="53"/>
      <c r="C20" s="821" t="s">
        <v>450</v>
      </c>
      <c r="D20" s="1233">
        <v>4</v>
      </c>
      <c r="E20" s="1233"/>
      <c r="F20" s="75" t="s">
        <v>562</v>
      </c>
      <c r="G20" s="53"/>
      <c r="H20" s="53"/>
      <c r="I20" s="53"/>
      <c r="J20" s="53"/>
      <c r="K20" s="53"/>
      <c r="L20" s="53"/>
      <c r="M20" s="53"/>
      <c r="N20" s="53"/>
    </row>
    <row r="21" spans="1:14" ht="19.5" x14ac:dyDescent="0.25">
      <c r="A21" s="53"/>
      <c r="B21" s="53"/>
      <c r="C21" s="1234" t="s">
        <v>881</v>
      </c>
      <c r="D21" s="1234"/>
      <c r="E21" s="1234"/>
      <c r="F21" s="1234"/>
      <c r="G21" s="1234"/>
      <c r="H21" s="1234"/>
      <c r="I21" s="1234"/>
      <c r="J21" s="1234"/>
      <c r="K21" s="1234"/>
      <c r="L21" s="1234"/>
      <c r="M21" s="1234"/>
      <c r="N21" s="53"/>
    </row>
    <row r="22" spans="1:14" x14ac:dyDescent="0.25">
      <c r="A22" s="53"/>
      <c r="B22" s="53"/>
      <c r="C22" s="53"/>
      <c r="D22" s="53"/>
      <c r="E22" s="53"/>
      <c r="F22" s="53"/>
      <c r="G22" s="53"/>
      <c r="H22" s="53"/>
      <c r="I22" s="53"/>
      <c r="J22" s="53"/>
      <c r="K22" s="53"/>
      <c r="L22" s="53"/>
      <c r="M22" s="53"/>
      <c r="N22" s="53"/>
    </row>
    <row r="23" spans="1:14" x14ac:dyDescent="0.25">
      <c r="A23" s="53"/>
      <c r="B23" s="53"/>
      <c r="C23" s="53"/>
      <c r="D23" s="53"/>
      <c r="E23" s="53"/>
      <c r="F23" s="53"/>
      <c r="G23" s="53"/>
      <c r="H23" s="53"/>
      <c r="I23" s="53"/>
      <c r="J23" s="53"/>
      <c r="K23" s="53"/>
      <c r="L23" s="53"/>
      <c r="M23" s="53"/>
      <c r="N23" s="53"/>
    </row>
    <row r="24" spans="1:14" ht="15.75" x14ac:dyDescent="0.25">
      <c r="A24" s="53"/>
      <c r="B24" s="53"/>
      <c r="C24" s="53"/>
      <c r="D24" s="53"/>
      <c r="E24" s="53"/>
      <c r="F24" s="1235" t="s">
        <v>414</v>
      </c>
      <c r="G24" s="1235"/>
      <c r="H24" s="1235"/>
      <c r="I24" s="1235"/>
      <c r="J24" s="1235"/>
      <c r="K24" s="1235"/>
      <c r="L24" s="1235"/>
      <c r="M24" s="1235"/>
      <c r="N24" s="53"/>
    </row>
    <row r="25" spans="1:14" ht="15.75" x14ac:dyDescent="0.25">
      <c r="A25" s="53"/>
      <c r="B25" s="53"/>
      <c r="C25" s="53"/>
      <c r="D25" s="53"/>
      <c r="E25" s="53"/>
      <c r="F25" s="1236" t="s">
        <v>1082</v>
      </c>
      <c r="G25" s="1236"/>
      <c r="H25" s="1236"/>
      <c r="I25" s="1236"/>
      <c r="J25" s="1236"/>
      <c r="K25" s="1236"/>
      <c r="L25" s="1236"/>
      <c r="M25" s="1236"/>
      <c r="N25" s="53"/>
    </row>
    <row r="26" spans="1:14" x14ac:dyDescent="0.25">
      <c r="A26" s="53"/>
      <c r="B26" s="53"/>
      <c r="C26" s="53"/>
      <c r="D26" s="53"/>
      <c r="E26" s="53"/>
      <c r="F26" s="53"/>
      <c r="G26" s="53"/>
      <c r="H26" s="53"/>
      <c r="I26" s="53"/>
      <c r="J26" s="53"/>
      <c r="K26" s="53"/>
      <c r="L26" s="53"/>
      <c r="M26" s="53"/>
      <c r="N26" s="53"/>
    </row>
    <row r="27" spans="1:14" x14ac:dyDescent="0.25">
      <c r="A27" s="53"/>
      <c r="B27" s="53"/>
      <c r="C27" s="53"/>
      <c r="D27" s="53"/>
      <c r="E27" s="53"/>
      <c r="F27" s="53"/>
      <c r="G27" s="53"/>
      <c r="H27" s="53"/>
      <c r="I27" s="53"/>
      <c r="J27" s="53"/>
      <c r="K27" s="53"/>
      <c r="L27" s="53"/>
      <c r="M27" s="53"/>
      <c r="N27" s="53"/>
    </row>
    <row r="28" spans="1:14" x14ac:dyDescent="0.25">
      <c r="A28" s="53"/>
      <c r="B28" s="53"/>
      <c r="C28" s="53"/>
      <c r="D28" s="53"/>
      <c r="E28" s="53"/>
      <c r="F28" s="53"/>
      <c r="G28" s="53"/>
      <c r="H28" s="53"/>
      <c r="I28" s="53"/>
      <c r="J28" s="53"/>
      <c r="K28" s="53"/>
      <c r="L28" s="53"/>
      <c r="M28" s="53"/>
      <c r="N28" s="53"/>
    </row>
    <row r="29" spans="1:14" x14ac:dyDescent="0.25">
      <c r="A29" s="53"/>
      <c r="B29" s="53"/>
      <c r="C29" s="53"/>
      <c r="D29" s="53"/>
      <c r="E29" s="53"/>
      <c r="F29" s="53"/>
      <c r="G29" s="53"/>
      <c r="H29" s="53"/>
      <c r="I29" s="53"/>
      <c r="J29" s="53"/>
      <c r="K29" s="53"/>
      <c r="L29" s="53"/>
      <c r="M29" s="53"/>
      <c r="N29" s="53"/>
    </row>
    <row r="30" spans="1:14" x14ac:dyDescent="0.25">
      <c r="A30" s="53"/>
      <c r="B30" s="53"/>
      <c r="C30" s="53"/>
      <c r="D30" s="53"/>
      <c r="E30" s="53"/>
      <c r="F30" s="53"/>
      <c r="G30" s="53"/>
      <c r="H30" s="53"/>
      <c r="I30" s="53"/>
      <c r="J30" s="53"/>
      <c r="K30" s="53"/>
      <c r="L30" s="53"/>
      <c r="M30" s="53"/>
      <c r="N30" s="53"/>
    </row>
    <row r="31" spans="1:14" ht="18.75" x14ac:dyDescent="0.25">
      <c r="A31" s="305"/>
      <c r="B31" s="53"/>
      <c r="C31" s="53"/>
      <c r="D31" s="53"/>
      <c r="E31" s="53"/>
      <c r="F31" s="1235" t="s">
        <v>281</v>
      </c>
      <c r="G31" s="1235"/>
      <c r="H31" s="1235"/>
      <c r="I31" s="1235"/>
      <c r="J31" s="1235"/>
      <c r="K31" s="1235"/>
      <c r="L31" s="1235"/>
      <c r="M31" s="1235"/>
      <c r="N31" s="53"/>
    </row>
  </sheetData>
  <mergeCells count="17">
    <mergeCell ref="D18:N18"/>
    <mergeCell ref="A2:C2"/>
    <mergeCell ref="E2:N2"/>
    <mergeCell ref="A3:C3"/>
    <mergeCell ref="E3:N3"/>
    <mergeCell ref="A4:C4"/>
    <mergeCell ref="E4:N4"/>
    <mergeCell ref="A5:C5"/>
    <mergeCell ref="A13:N13"/>
    <mergeCell ref="D15:N15"/>
    <mergeCell ref="D16:N16"/>
    <mergeCell ref="D17:N17"/>
    <mergeCell ref="D20:E20"/>
    <mergeCell ref="C21:M21"/>
    <mergeCell ref="F24:M24"/>
    <mergeCell ref="F25:M25"/>
    <mergeCell ref="F31:M31"/>
  </mergeCells>
  <hyperlinks>
    <hyperlink ref="A3" r:id="rId1" xr:uid="{00000000-0004-0000-1E00-000000000000}"/>
  </hyperlinks>
  <pageMargins left="1.18" right="0.59" top="0.79" bottom="0.79" header="0.3" footer="0.3"/>
  <pageSetup paperSize="9" scale="85" orientation="landscape"/>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indexed="22"/>
  </sheetPr>
  <dimension ref="A1:O55"/>
  <sheetViews>
    <sheetView showZeros="0" topLeftCell="A22" workbookViewId="0">
      <selection sqref="A1:D1"/>
    </sheetView>
  </sheetViews>
  <sheetFormatPr defaultColWidth="9.42578125" defaultRowHeight="15" x14ac:dyDescent="0.25"/>
  <sheetData>
    <row r="1" spans="1:15" x14ac:dyDescent="0.25">
      <c r="A1" s="1226" t="s">
        <v>1183</v>
      </c>
      <c r="B1" s="1226"/>
      <c r="C1" s="1226"/>
      <c r="D1" s="1226"/>
      <c r="E1" s="1226"/>
      <c r="F1" s="53"/>
      <c r="G1" s="53"/>
      <c r="H1" s="1226" t="s">
        <v>1002</v>
      </c>
      <c r="I1" s="1226"/>
      <c r="J1" s="1226"/>
      <c r="K1" s="1226"/>
      <c r="L1" s="1226"/>
      <c r="M1" s="1226"/>
      <c r="N1" s="1226"/>
      <c r="O1" s="1226"/>
    </row>
    <row r="2" spans="1:15" x14ac:dyDescent="0.25">
      <c r="A2" s="53"/>
      <c r="B2" s="53"/>
      <c r="C2" s="53"/>
      <c r="D2" s="53"/>
      <c r="E2" s="53"/>
      <c r="F2" s="53"/>
      <c r="G2" s="53"/>
      <c r="H2" s="1226" t="s">
        <v>442</v>
      </c>
      <c r="I2" s="1226"/>
      <c r="J2" s="1226"/>
      <c r="K2" s="1226"/>
      <c r="L2" s="1226"/>
      <c r="M2" s="1226"/>
      <c r="N2" s="1226"/>
      <c r="O2" s="1226"/>
    </row>
    <row r="3" spans="1:15" x14ac:dyDescent="0.25">
      <c r="A3" s="53"/>
      <c r="B3" s="53"/>
      <c r="C3" s="53"/>
      <c r="D3" s="53"/>
      <c r="E3" s="53"/>
      <c r="F3" s="53"/>
      <c r="G3" s="53"/>
      <c r="H3" s="53"/>
      <c r="I3" s="53"/>
      <c r="J3" s="53"/>
      <c r="K3" s="53"/>
      <c r="L3" s="53"/>
      <c r="M3" s="53"/>
      <c r="N3" s="53"/>
      <c r="O3" s="53"/>
    </row>
    <row r="4" spans="1:15" x14ac:dyDescent="0.25">
      <c r="A4" s="53"/>
      <c r="B4" s="53"/>
      <c r="C4" s="53"/>
      <c r="D4" s="53"/>
      <c r="E4" s="53"/>
      <c r="F4" s="53"/>
      <c r="G4" s="53"/>
      <c r="H4" s="53"/>
      <c r="I4" s="53"/>
      <c r="J4" s="53"/>
      <c r="K4" s="53"/>
      <c r="L4" s="53"/>
      <c r="M4" s="53"/>
      <c r="N4" s="53"/>
      <c r="O4" s="53"/>
    </row>
    <row r="5" spans="1:15" ht="25.5" x14ac:dyDescent="0.25">
      <c r="A5" s="1227" t="s">
        <v>304</v>
      </c>
      <c r="B5" s="1227"/>
      <c r="C5" s="1227"/>
      <c r="D5" s="1227"/>
      <c r="E5" s="1227"/>
      <c r="F5" s="1227"/>
      <c r="G5" s="1227"/>
      <c r="H5" s="1227"/>
      <c r="I5" s="1227"/>
      <c r="J5" s="1227"/>
      <c r="K5" s="1227"/>
      <c r="L5" s="1227"/>
      <c r="M5" s="1227"/>
      <c r="N5" s="1227"/>
      <c r="O5" s="1227"/>
    </row>
    <row r="6" spans="1:15" ht="15.75" x14ac:dyDescent="0.25">
      <c r="A6" s="1236" t="s">
        <v>797</v>
      </c>
      <c r="B6" s="1236"/>
      <c r="C6" s="1236"/>
      <c r="D6" s="1236"/>
      <c r="E6" s="1236"/>
      <c r="F6" s="1236"/>
      <c r="G6" s="1236"/>
      <c r="H6" s="1236"/>
      <c r="I6" s="1236"/>
      <c r="J6" s="1236"/>
      <c r="K6" s="1236"/>
      <c r="L6" s="1236"/>
      <c r="M6" s="1236"/>
      <c r="N6" s="1236"/>
      <c r="O6" s="1236"/>
    </row>
    <row r="7" spans="1:15" ht="18.75" x14ac:dyDescent="0.25">
      <c r="A7" s="1229" t="s">
        <v>572</v>
      </c>
      <c r="B7" s="1229"/>
      <c r="C7" s="1229"/>
      <c r="D7" s="1229"/>
      <c r="E7" s="1229"/>
      <c r="F7" s="1229"/>
      <c r="G7" s="1229"/>
      <c r="H7" s="1229"/>
      <c r="I7" s="1229"/>
      <c r="J7" s="1229"/>
      <c r="K7" s="1229"/>
      <c r="L7" s="1229"/>
      <c r="M7" s="1229"/>
      <c r="N7" s="1229"/>
      <c r="O7" s="1229"/>
    </row>
    <row r="8" spans="1:15" ht="15.75" x14ac:dyDescent="0.25">
      <c r="A8" s="1241" t="s">
        <v>524</v>
      </c>
      <c r="B8" s="1241"/>
      <c r="C8" s="1241"/>
      <c r="D8" s="1241"/>
      <c r="E8" s="1241"/>
      <c r="F8" s="1241"/>
      <c r="G8" s="1241"/>
      <c r="H8" s="1241"/>
      <c r="I8" s="1241"/>
      <c r="J8" s="1241"/>
      <c r="K8" s="1241"/>
      <c r="L8" s="1241"/>
      <c r="M8" s="1241"/>
      <c r="N8" s="1241"/>
      <c r="O8" s="1241"/>
    </row>
    <row r="9" spans="1:15" x14ac:dyDescent="0.25">
      <c r="A9" s="1238" t="s">
        <v>38</v>
      </c>
      <c r="B9" s="1238"/>
      <c r="C9" s="1238"/>
      <c r="D9" s="1238"/>
      <c r="E9" s="1238"/>
      <c r="F9" s="1238"/>
      <c r="G9" s="1238"/>
      <c r="H9" s="1238"/>
      <c r="I9" s="1238"/>
      <c r="J9" s="1238"/>
      <c r="K9" s="1238"/>
      <c r="L9" s="1238"/>
      <c r="M9" s="1238"/>
      <c r="N9" s="1238"/>
      <c r="O9" s="1238"/>
    </row>
    <row r="10" spans="1:15" x14ac:dyDescent="0.25">
      <c r="A10" s="1238" t="s">
        <v>481</v>
      </c>
      <c r="B10" s="1238"/>
      <c r="C10" s="1238"/>
      <c r="D10" s="1238"/>
      <c r="E10" s="1238"/>
      <c r="F10" s="1238"/>
      <c r="G10" s="1238"/>
      <c r="H10" s="1238"/>
      <c r="I10" s="1238"/>
      <c r="J10" s="1238"/>
      <c r="K10" s="1238"/>
      <c r="L10" s="1238"/>
      <c r="M10" s="1238"/>
      <c r="N10" s="1238"/>
      <c r="O10" s="1238"/>
    </row>
    <row r="11" spans="1:15" x14ac:dyDescent="0.25">
      <c r="A11" s="1238" t="s">
        <v>9</v>
      </c>
      <c r="B11" s="1238"/>
      <c r="C11" s="1238"/>
      <c r="D11" s="1238"/>
      <c r="E11" s="1238"/>
      <c r="F11" s="1238"/>
      <c r="G11" s="1238"/>
      <c r="H11" s="1238"/>
      <c r="I11" s="1238"/>
      <c r="J11" s="1238"/>
      <c r="K11" s="1238"/>
      <c r="L11" s="1238"/>
      <c r="M11" s="1238"/>
      <c r="N11" s="1238"/>
      <c r="O11" s="1238"/>
    </row>
    <row r="12" spans="1:15" x14ac:dyDescent="0.25">
      <c r="A12" s="1238" t="s">
        <v>110</v>
      </c>
      <c r="B12" s="1238"/>
      <c r="C12" s="1238"/>
      <c r="D12" s="1238"/>
      <c r="E12" s="1238"/>
      <c r="F12" s="1238"/>
      <c r="G12" s="1238"/>
      <c r="H12" s="1238"/>
      <c r="I12" s="1238"/>
      <c r="J12" s="1238"/>
      <c r="K12" s="1238"/>
      <c r="L12" s="1238"/>
      <c r="M12" s="1238"/>
      <c r="N12" s="1238"/>
      <c r="O12" s="1238"/>
    </row>
    <row r="13" spans="1:15" x14ac:dyDescent="0.25">
      <c r="A13" s="1238" t="s">
        <v>1348</v>
      </c>
      <c r="B13" s="1238"/>
      <c r="C13" s="1238"/>
      <c r="D13" s="1238"/>
      <c r="E13" s="1238"/>
      <c r="F13" s="1238"/>
      <c r="G13" s="1238"/>
      <c r="H13" s="1238"/>
      <c r="I13" s="1238"/>
      <c r="J13" s="1238"/>
      <c r="K13" s="1238"/>
      <c r="L13" s="1238"/>
      <c r="M13" s="1238"/>
      <c r="N13" s="1238"/>
      <c r="O13" s="1238"/>
    </row>
    <row r="14" spans="1:15" x14ac:dyDescent="0.25">
      <c r="A14" s="1238" t="s">
        <v>1208</v>
      </c>
      <c r="B14" s="1238"/>
      <c r="C14" s="1238"/>
      <c r="D14" s="1238"/>
      <c r="E14" s="1238"/>
      <c r="F14" s="1238"/>
      <c r="G14" s="1238"/>
      <c r="H14" s="1238"/>
      <c r="I14" s="1238"/>
      <c r="J14" s="1238"/>
      <c r="K14" s="1238"/>
      <c r="L14" s="1238"/>
      <c r="M14" s="1238"/>
      <c r="N14" s="1238"/>
      <c r="O14" s="1238"/>
    </row>
    <row r="15" spans="1:15" x14ac:dyDescent="0.25">
      <c r="A15" s="1238" t="s">
        <v>1314</v>
      </c>
      <c r="B15" s="1238"/>
      <c r="C15" s="1238"/>
      <c r="D15" s="1238"/>
      <c r="E15" s="1238"/>
      <c r="F15" s="1238"/>
      <c r="G15" s="1238"/>
      <c r="H15" s="1238"/>
      <c r="I15" s="1238"/>
      <c r="J15" s="1238"/>
      <c r="K15" s="1238"/>
      <c r="L15" s="1238"/>
      <c r="M15" s="1238"/>
      <c r="N15" s="1238"/>
      <c r="O15" s="1238"/>
    </row>
    <row r="16" spans="1:15" x14ac:dyDescent="0.25">
      <c r="A16" s="1238" t="s">
        <v>1041</v>
      </c>
      <c r="B16" s="1238"/>
      <c r="C16" s="1238"/>
      <c r="D16" s="1238"/>
      <c r="E16" s="1238"/>
      <c r="F16" s="1238"/>
      <c r="G16" s="1238"/>
      <c r="H16" s="1238"/>
      <c r="I16" s="1238"/>
      <c r="J16" s="1238"/>
      <c r="K16" s="1238"/>
      <c r="L16" s="1238"/>
      <c r="M16" s="1238"/>
      <c r="N16" s="1238"/>
      <c r="O16" s="1238"/>
    </row>
    <row r="17" spans="1:15" x14ac:dyDescent="0.25">
      <c r="A17" s="1238" t="s">
        <v>1469</v>
      </c>
      <c r="B17" s="1238"/>
      <c r="C17" s="1238"/>
      <c r="D17" s="1238"/>
      <c r="E17" s="1238"/>
      <c r="F17" s="1238"/>
      <c r="G17" s="1238"/>
      <c r="H17" s="1238"/>
      <c r="I17" s="1238"/>
      <c r="J17" s="1238"/>
      <c r="K17" s="1238"/>
      <c r="L17" s="1238"/>
      <c r="M17" s="1238"/>
      <c r="N17" s="1238"/>
      <c r="O17" s="1238"/>
    </row>
    <row r="18" spans="1:15" x14ac:dyDescent="0.25">
      <c r="A18" s="1238" t="s">
        <v>907</v>
      </c>
      <c r="B18" s="1238"/>
      <c r="C18" s="1238"/>
      <c r="D18" s="1238"/>
      <c r="E18" s="1238"/>
      <c r="F18" s="1238"/>
      <c r="G18" s="1238"/>
      <c r="H18" s="1238"/>
      <c r="I18" s="1238"/>
      <c r="J18" s="1238"/>
      <c r="K18" s="1238"/>
      <c r="L18" s="1238"/>
      <c r="M18" s="1238"/>
      <c r="N18" s="1238"/>
      <c r="O18" s="1238"/>
    </row>
    <row r="19" spans="1:15" x14ac:dyDescent="0.25">
      <c r="A19" s="1238" t="s">
        <v>780</v>
      </c>
      <c r="B19" s="1238"/>
      <c r="C19" s="1238"/>
      <c r="D19" s="1238"/>
      <c r="E19" s="1238"/>
      <c r="F19" s="1238"/>
      <c r="G19" s="1238"/>
      <c r="H19" s="1238"/>
      <c r="I19" s="1238"/>
      <c r="J19" s="1238"/>
      <c r="K19" s="1238"/>
      <c r="L19" s="1238"/>
      <c r="M19" s="1238"/>
      <c r="N19" s="1238"/>
      <c r="O19" s="1238"/>
    </row>
    <row r="20" spans="1:15" x14ac:dyDescent="0.25">
      <c r="A20" s="1238" t="s">
        <v>358</v>
      </c>
      <c r="B20" s="1238"/>
      <c r="C20" s="1238"/>
      <c r="D20" s="1238"/>
      <c r="E20" s="1238"/>
      <c r="F20" s="1238"/>
      <c r="G20" s="1238"/>
      <c r="H20" s="1238"/>
      <c r="I20" s="1238"/>
      <c r="J20" s="1238"/>
      <c r="K20" s="1238"/>
      <c r="L20" s="1238"/>
      <c r="M20" s="1238"/>
      <c r="N20" s="1238"/>
      <c r="O20" s="1238"/>
    </row>
    <row r="21" spans="1:15" x14ac:dyDescent="0.25">
      <c r="A21" s="1238" t="s">
        <v>1394</v>
      </c>
      <c r="B21" s="1238"/>
      <c r="C21" s="1238"/>
      <c r="D21" s="1238"/>
      <c r="E21" s="1238"/>
      <c r="F21" s="1238"/>
      <c r="G21" s="1238"/>
      <c r="H21" s="1238"/>
      <c r="I21" s="1238"/>
      <c r="J21" s="1238"/>
      <c r="K21" s="1238"/>
      <c r="L21" s="1238"/>
      <c r="M21" s="1238"/>
      <c r="N21" s="1238"/>
      <c r="O21" s="1238"/>
    </row>
    <row r="22" spans="1:15" s="227" customFormat="1" ht="15.75" x14ac:dyDescent="0.25">
      <c r="A22" s="1242" t="s">
        <v>1033</v>
      </c>
      <c r="B22" s="1242"/>
      <c r="C22" s="1242"/>
      <c r="D22" s="1242"/>
      <c r="E22" s="1242"/>
      <c r="F22" s="1242"/>
      <c r="G22" s="1242"/>
      <c r="H22" s="1242"/>
      <c r="I22" s="1242"/>
      <c r="J22" s="1242"/>
      <c r="K22" s="1242"/>
      <c r="L22" s="1242"/>
      <c r="M22" s="1242"/>
      <c r="N22" s="1242"/>
      <c r="O22" s="1242"/>
    </row>
    <row r="23" spans="1:15" s="227" customFormat="1" x14ac:dyDescent="0.25">
      <c r="A23" s="1237" t="s">
        <v>1097</v>
      </c>
      <c r="B23" s="1237"/>
      <c r="C23" s="1237"/>
      <c r="D23" s="1237"/>
      <c r="E23" s="1237"/>
      <c r="F23" s="1237"/>
      <c r="G23" s="1237"/>
      <c r="H23" s="1237"/>
      <c r="I23" s="1237"/>
      <c r="J23" s="1237"/>
      <c r="K23" s="1237"/>
      <c r="L23" s="1237"/>
      <c r="M23" s="1237"/>
      <c r="N23" s="1237"/>
      <c r="O23" s="1237"/>
    </row>
    <row r="24" spans="1:15" s="227" customFormat="1" x14ac:dyDescent="0.25">
      <c r="A24" s="1237" t="s">
        <v>1051</v>
      </c>
      <c r="B24" s="1237"/>
      <c r="C24" s="1237"/>
      <c r="D24" s="1237"/>
      <c r="E24" s="1237"/>
      <c r="F24" s="1237"/>
      <c r="G24" s="1237"/>
      <c r="H24" s="1237"/>
      <c r="I24" s="1237"/>
      <c r="J24" s="1237"/>
      <c r="K24" s="1237"/>
      <c r="L24" s="1237"/>
      <c r="M24" s="1237"/>
      <c r="N24" s="1237"/>
      <c r="O24" s="1237"/>
    </row>
    <row r="25" spans="1:15" s="227" customFormat="1" x14ac:dyDescent="0.25">
      <c r="A25" s="1237" t="s">
        <v>972</v>
      </c>
      <c r="B25" s="1237"/>
      <c r="C25" s="1237"/>
      <c r="D25" s="1237"/>
      <c r="E25" s="1237"/>
      <c r="F25" s="1237"/>
      <c r="G25" s="1237"/>
      <c r="H25" s="1237"/>
      <c r="I25" s="1237"/>
      <c r="J25" s="1237"/>
      <c r="K25" s="1237"/>
      <c r="L25" s="1237"/>
      <c r="M25" s="1237"/>
      <c r="N25" s="1237"/>
      <c r="O25" s="1237"/>
    </row>
    <row r="26" spans="1:15" s="227" customFormat="1" x14ac:dyDescent="0.25">
      <c r="A26" s="1237" t="s">
        <v>1133</v>
      </c>
      <c r="B26" s="1237"/>
      <c r="C26" s="1237"/>
      <c r="D26" s="1237"/>
      <c r="E26" s="1237"/>
      <c r="F26" s="1237"/>
      <c r="G26" s="1237"/>
      <c r="H26" s="1237"/>
      <c r="I26" s="1237"/>
      <c r="J26" s="1237"/>
      <c r="K26" s="1237"/>
      <c r="L26" s="1237"/>
      <c r="M26" s="1237"/>
      <c r="N26" s="1237"/>
      <c r="O26" s="1237"/>
    </row>
    <row r="27" spans="1:15" s="227" customFormat="1" x14ac:dyDescent="0.25">
      <c r="A27" s="1237" t="s">
        <v>1175</v>
      </c>
      <c r="B27" s="1237"/>
      <c r="C27" s="1237"/>
      <c r="D27" s="1237"/>
      <c r="E27" s="1237"/>
      <c r="F27" s="1237"/>
      <c r="G27" s="1237"/>
      <c r="H27" s="1237"/>
      <c r="I27" s="1237"/>
      <c r="J27" s="1237"/>
      <c r="K27" s="1237"/>
      <c r="L27" s="1237"/>
      <c r="M27" s="1237"/>
      <c r="N27" s="1237"/>
      <c r="O27" s="1237"/>
    </row>
    <row r="28" spans="1:15" s="227" customFormat="1" x14ac:dyDescent="0.25">
      <c r="A28" s="1237" t="s">
        <v>2</v>
      </c>
      <c r="B28" s="1237"/>
      <c r="C28" s="1237"/>
      <c r="D28" s="1237"/>
      <c r="E28" s="1237"/>
      <c r="F28" s="1237"/>
      <c r="G28" s="1237"/>
      <c r="H28" s="1237"/>
      <c r="I28" s="1237"/>
      <c r="J28" s="1237"/>
      <c r="K28" s="1237"/>
      <c r="L28" s="1237"/>
      <c r="M28" s="1237"/>
      <c r="N28" s="1237"/>
      <c r="O28" s="1237"/>
    </row>
    <row r="29" spans="1:15" s="227" customFormat="1" x14ac:dyDescent="0.25">
      <c r="A29" s="1237" t="s">
        <v>1287</v>
      </c>
      <c r="B29" s="1237"/>
      <c r="C29" s="1237"/>
      <c r="D29" s="1237"/>
      <c r="E29" s="1237"/>
      <c r="F29" s="1237"/>
      <c r="G29" s="1237"/>
      <c r="H29" s="1237"/>
      <c r="I29" s="1237"/>
      <c r="J29" s="1237"/>
      <c r="K29" s="1237"/>
      <c r="L29" s="1237"/>
      <c r="M29" s="1237"/>
      <c r="N29" s="1237"/>
      <c r="O29" s="1237"/>
    </row>
    <row r="30" spans="1:15" s="227" customFormat="1" x14ac:dyDescent="0.25">
      <c r="A30" s="1237" t="s">
        <v>771</v>
      </c>
      <c r="B30" s="1237"/>
      <c r="C30" s="1237"/>
      <c r="D30" s="1237"/>
      <c r="E30" s="1237"/>
      <c r="F30" s="1237"/>
      <c r="G30" s="1237"/>
      <c r="H30" s="1237"/>
      <c r="I30" s="1237"/>
      <c r="J30" s="1237"/>
      <c r="K30" s="1237"/>
      <c r="L30" s="1237"/>
      <c r="M30" s="1237"/>
      <c r="N30" s="1237"/>
      <c r="O30" s="1237"/>
    </row>
    <row r="31" spans="1:15" s="227" customFormat="1" x14ac:dyDescent="0.25">
      <c r="A31" s="1237" t="s">
        <v>1138</v>
      </c>
      <c r="B31" s="1237"/>
      <c r="C31" s="1237"/>
      <c r="D31" s="1237"/>
      <c r="E31" s="1237"/>
      <c r="F31" s="1237"/>
      <c r="G31" s="1237"/>
      <c r="H31" s="1237"/>
      <c r="I31" s="1237"/>
      <c r="J31" s="1237"/>
      <c r="K31" s="1237"/>
      <c r="L31" s="1237"/>
      <c r="M31" s="1237"/>
      <c r="N31" s="1237"/>
      <c r="O31" s="1237"/>
    </row>
    <row r="32" spans="1:15" s="227" customFormat="1" x14ac:dyDescent="0.25">
      <c r="A32" s="1237" t="s">
        <v>34</v>
      </c>
      <c r="B32" s="1237"/>
      <c r="C32" s="1237"/>
      <c r="D32" s="1237"/>
      <c r="E32" s="1237"/>
      <c r="F32" s="1237"/>
      <c r="G32" s="1237"/>
      <c r="H32" s="1237"/>
      <c r="I32" s="1237"/>
      <c r="J32" s="1237"/>
      <c r="K32" s="1237"/>
      <c r="L32" s="1237"/>
      <c r="M32" s="1237"/>
      <c r="N32" s="1237"/>
      <c r="O32" s="1237"/>
    </row>
    <row r="33" spans="1:15" s="227" customFormat="1" x14ac:dyDescent="0.25">
      <c r="A33" s="1237" t="s">
        <v>1294</v>
      </c>
      <c r="B33" s="1237"/>
      <c r="C33" s="1237"/>
      <c r="D33" s="1237"/>
      <c r="E33" s="1237"/>
      <c r="F33" s="1237"/>
      <c r="G33" s="1237"/>
      <c r="H33" s="1237"/>
      <c r="I33" s="1237"/>
      <c r="J33" s="1237"/>
      <c r="K33" s="1237"/>
      <c r="L33" s="1237"/>
      <c r="M33" s="1237"/>
      <c r="N33" s="1237"/>
      <c r="O33" s="1237"/>
    </row>
    <row r="34" spans="1:15" s="227" customFormat="1" x14ac:dyDescent="0.25">
      <c r="A34" s="1237" t="s">
        <v>1071</v>
      </c>
      <c r="B34" s="1237"/>
      <c r="C34" s="1237"/>
      <c r="D34" s="1237"/>
      <c r="E34" s="1237"/>
      <c r="F34" s="1237"/>
      <c r="G34" s="1237"/>
      <c r="H34" s="1237"/>
      <c r="I34" s="1237"/>
      <c r="J34" s="1237"/>
      <c r="K34" s="1237"/>
      <c r="L34" s="1237"/>
      <c r="M34" s="1237"/>
      <c r="N34" s="1237"/>
      <c r="O34" s="1237"/>
    </row>
    <row r="35" spans="1:15" s="227" customFormat="1" x14ac:dyDescent="0.25">
      <c r="A35" s="1237" t="s">
        <v>1028</v>
      </c>
      <c r="B35" s="1237"/>
      <c r="C35" s="1237"/>
      <c r="D35" s="1237"/>
      <c r="E35" s="1237"/>
      <c r="F35" s="1237"/>
      <c r="G35" s="1237"/>
      <c r="H35" s="1237"/>
      <c r="I35" s="1237"/>
      <c r="J35" s="1237"/>
      <c r="K35" s="1237"/>
      <c r="L35" s="1237"/>
      <c r="M35" s="1237"/>
      <c r="N35" s="1237"/>
      <c r="O35" s="1237"/>
    </row>
    <row r="36" spans="1:15" s="227" customFormat="1" x14ac:dyDescent="0.25">
      <c r="A36" s="1237" t="s">
        <v>115</v>
      </c>
      <c r="B36" s="1237"/>
      <c r="C36" s="1237"/>
      <c r="D36" s="1237"/>
      <c r="E36" s="1237"/>
      <c r="F36" s="1237"/>
      <c r="G36" s="1237"/>
      <c r="H36" s="1237"/>
      <c r="I36" s="1237"/>
      <c r="J36" s="1237"/>
      <c r="K36" s="1237"/>
      <c r="L36" s="1237"/>
      <c r="M36" s="1237"/>
      <c r="N36" s="1237"/>
      <c r="O36" s="1237"/>
    </row>
    <row r="37" spans="1:15" x14ac:dyDescent="0.25">
      <c r="A37" s="1238" t="s">
        <v>1105</v>
      </c>
      <c r="B37" s="1238"/>
      <c r="C37" s="1238"/>
      <c r="D37" s="1238"/>
      <c r="E37" s="1238"/>
      <c r="F37" s="1238"/>
      <c r="G37" s="1238"/>
      <c r="H37" s="1238"/>
      <c r="I37" s="1238"/>
      <c r="J37" s="1238"/>
      <c r="K37" s="1238"/>
      <c r="L37" s="1238"/>
      <c r="M37" s="1238"/>
      <c r="N37" s="1238"/>
      <c r="O37" s="1238"/>
    </row>
    <row r="38" spans="1:15" ht="15.75" x14ac:dyDescent="0.25">
      <c r="A38" s="1241" t="s">
        <v>116</v>
      </c>
      <c r="B38" s="1241"/>
      <c r="C38" s="1241"/>
      <c r="D38" s="1241"/>
      <c r="E38" s="1241"/>
      <c r="F38" s="1241"/>
      <c r="G38" s="1241"/>
      <c r="H38" s="1241"/>
      <c r="I38" s="1241"/>
      <c r="J38" s="1241"/>
      <c r="K38" s="1241"/>
      <c r="L38" s="1241"/>
      <c r="M38" s="1241"/>
      <c r="N38" s="1241"/>
      <c r="O38" s="1241"/>
    </row>
    <row r="39" spans="1:15" x14ac:dyDescent="0.25">
      <c r="A39" s="1238" t="s">
        <v>466</v>
      </c>
      <c r="B39" s="1238"/>
      <c r="C39" s="1238"/>
      <c r="D39" s="1238"/>
      <c r="E39" s="1238"/>
      <c r="F39" s="1238"/>
      <c r="G39" s="1238"/>
      <c r="H39" s="1238"/>
      <c r="I39" s="1238"/>
      <c r="J39" s="1238"/>
      <c r="K39" s="1238"/>
      <c r="L39" s="1238"/>
      <c r="M39" s="1238"/>
      <c r="N39" s="1238"/>
      <c r="O39" s="1238"/>
    </row>
    <row r="40" spans="1:15" x14ac:dyDescent="0.25">
      <c r="A40" s="1238" t="s">
        <v>472</v>
      </c>
      <c r="B40" s="1238"/>
      <c r="C40" s="1238"/>
      <c r="D40" s="1238"/>
      <c r="E40" s="1238"/>
      <c r="F40" s="1238"/>
      <c r="G40" s="1238"/>
      <c r="H40" s="1238"/>
      <c r="I40" s="1238"/>
      <c r="J40" s="1238"/>
      <c r="K40" s="1238"/>
      <c r="L40" s="1238"/>
      <c r="M40" s="1238"/>
      <c r="N40" s="1238"/>
      <c r="O40" s="1238"/>
    </row>
    <row r="41" spans="1:15" x14ac:dyDescent="0.25">
      <c r="A41" s="1238" t="s">
        <v>1114</v>
      </c>
      <c r="B41" s="1238"/>
      <c r="C41" s="1238"/>
      <c r="D41" s="1238"/>
      <c r="E41" s="1238"/>
      <c r="F41" s="1238"/>
      <c r="G41" s="1238"/>
      <c r="H41" s="1238"/>
      <c r="I41" s="1238"/>
      <c r="J41" s="1238"/>
      <c r="K41" s="1238"/>
      <c r="L41" s="1238"/>
      <c r="M41" s="1238"/>
      <c r="N41" s="1238"/>
      <c r="O41" s="1238"/>
    </row>
    <row r="42" spans="1:15" x14ac:dyDescent="0.25">
      <c r="A42" s="1238" t="s">
        <v>525</v>
      </c>
      <c r="B42" s="1238"/>
      <c r="C42" s="1238"/>
      <c r="D42" s="1238"/>
      <c r="E42" s="1238"/>
      <c r="F42" s="1238"/>
      <c r="G42" s="1238"/>
      <c r="H42" s="1238"/>
      <c r="I42" s="1238"/>
      <c r="J42" s="1238"/>
      <c r="K42" s="1238"/>
      <c r="L42" s="1238"/>
      <c r="M42" s="1238"/>
      <c r="N42" s="1238"/>
      <c r="O42" s="1238"/>
    </row>
    <row r="43" spans="1:15" x14ac:dyDescent="0.25">
      <c r="A43" s="1238" t="s">
        <v>39</v>
      </c>
      <c r="B43" s="1238"/>
      <c r="C43" s="1238"/>
      <c r="D43" s="1238"/>
      <c r="E43" s="1238"/>
      <c r="F43" s="1238"/>
      <c r="G43" s="1238"/>
      <c r="H43" s="1238"/>
      <c r="I43" s="1238"/>
      <c r="J43" s="1238"/>
      <c r="K43" s="1238"/>
      <c r="L43" s="1238"/>
      <c r="M43" s="1238"/>
      <c r="N43" s="1238"/>
      <c r="O43" s="1238"/>
    </row>
    <row r="44" spans="1:15" x14ac:dyDescent="0.25">
      <c r="A44" s="1238" t="s">
        <v>1105</v>
      </c>
      <c r="B44" s="1238"/>
      <c r="C44" s="1238"/>
      <c r="D44" s="1238"/>
      <c r="E44" s="1238"/>
      <c r="F44" s="1238"/>
      <c r="G44" s="1238"/>
      <c r="H44" s="1238"/>
      <c r="I44" s="1238"/>
      <c r="J44" s="1238"/>
      <c r="K44" s="1238"/>
      <c r="L44" s="1238"/>
      <c r="M44" s="1238"/>
      <c r="N44" s="1238"/>
      <c r="O44" s="1238"/>
    </row>
    <row r="45" spans="1:15" x14ac:dyDescent="0.25">
      <c r="A45" s="1238"/>
      <c r="B45" s="1238"/>
      <c r="C45" s="1238"/>
      <c r="D45" s="1238"/>
      <c r="E45" s="1238"/>
      <c r="F45" s="1238"/>
      <c r="G45" s="1238"/>
      <c r="H45" s="1238"/>
      <c r="I45" s="1238"/>
      <c r="J45" s="1238"/>
      <c r="K45" s="1238"/>
      <c r="L45" s="1238"/>
      <c r="M45" s="1238"/>
      <c r="N45" s="1238"/>
      <c r="O45" s="1238"/>
    </row>
    <row r="46" spans="1:15" x14ac:dyDescent="0.25">
      <c r="A46" s="1238"/>
      <c r="B46" s="1238"/>
      <c r="C46" s="1238"/>
      <c r="D46" s="1238"/>
      <c r="E46" s="1238"/>
      <c r="F46" s="1238"/>
      <c r="G46" s="1238"/>
      <c r="H46" s="1238"/>
      <c r="I46" s="1238"/>
      <c r="J46" s="1238"/>
      <c r="K46" s="1238"/>
      <c r="L46" s="1238"/>
      <c r="M46" s="1238"/>
      <c r="N46" s="1238"/>
      <c r="O46" s="1238"/>
    </row>
    <row r="47" spans="1:15" ht="18.75" x14ac:dyDescent="0.25">
      <c r="A47" s="1229" t="s">
        <v>377</v>
      </c>
      <c r="B47" s="1229"/>
      <c r="C47" s="1229"/>
      <c r="D47" s="1239">
        <v>988199000</v>
      </c>
      <c r="E47" s="1239"/>
      <c r="F47" s="1239"/>
      <c r="G47" s="457" t="s">
        <v>562</v>
      </c>
      <c r="H47" s="53"/>
      <c r="I47" s="53"/>
      <c r="J47" s="904"/>
      <c r="K47" s="53"/>
      <c r="L47" s="53"/>
      <c r="M47" s="53"/>
      <c r="N47" s="53"/>
      <c r="O47" s="53"/>
    </row>
    <row r="48" spans="1:15" x14ac:dyDescent="0.25">
      <c r="A48" s="1240"/>
      <c r="B48" s="1240"/>
      <c r="C48" s="1240"/>
      <c r="D48" s="1240"/>
      <c r="E48" s="1240"/>
      <c r="F48" s="1240"/>
      <c r="G48" s="1240"/>
      <c r="H48" s="1240"/>
      <c r="I48" s="1240"/>
      <c r="J48" s="1240"/>
      <c r="K48" s="1240"/>
      <c r="L48" s="1240"/>
      <c r="M48" s="1240"/>
      <c r="N48" s="1240"/>
      <c r="O48" s="1240"/>
    </row>
    <row r="49" spans="1:15" x14ac:dyDescent="0.25">
      <c r="A49" s="53"/>
      <c r="B49" s="53"/>
      <c r="C49" s="53"/>
      <c r="D49" s="53"/>
      <c r="E49" s="53"/>
      <c r="F49" s="53"/>
      <c r="G49" s="53"/>
      <c r="H49" s="53"/>
      <c r="I49" s="53"/>
      <c r="J49" s="53"/>
      <c r="K49" s="53"/>
      <c r="L49" s="53"/>
      <c r="M49" s="53"/>
      <c r="N49" s="53"/>
      <c r="O49" s="53"/>
    </row>
    <row r="50" spans="1:15" x14ac:dyDescent="0.25">
      <c r="A50" s="53"/>
      <c r="B50" s="53"/>
      <c r="C50" s="53"/>
      <c r="D50" s="53"/>
      <c r="E50" s="53"/>
      <c r="F50" s="53"/>
      <c r="G50" s="53"/>
      <c r="H50" s="53"/>
      <c r="I50" s="53"/>
      <c r="J50" s="1232" t="s">
        <v>414</v>
      </c>
      <c r="K50" s="1232"/>
      <c r="L50" s="1232"/>
      <c r="M50" s="1232"/>
      <c r="N50" s="1232"/>
      <c r="O50" s="1232"/>
    </row>
    <row r="51" spans="1:15" x14ac:dyDescent="0.25">
      <c r="A51" s="1226" t="s">
        <v>1071</v>
      </c>
      <c r="B51" s="1226"/>
      <c r="C51" s="1226"/>
      <c r="D51" s="1226"/>
      <c r="E51" s="53"/>
      <c r="F51" s="53"/>
      <c r="G51" s="53"/>
      <c r="H51" s="53"/>
      <c r="I51" s="53"/>
      <c r="J51" s="1226" t="s">
        <v>1149</v>
      </c>
      <c r="K51" s="1226"/>
      <c r="L51" s="1226"/>
      <c r="M51" s="1226"/>
      <c r="N51" s="1226"/>
      <c r="O51" s="1226"/>
    </row>
    <row r="55" spans="1:15" x14ac:dyDescent="0.25">
      <c r="M55" s="313"/>
    </row>
  </sheetData>
  <mergeCells count="51">
    <mergeCell ref="A7:O7"/>
    <mergeCell ref="A1:E1"/>
    <mergeCell ref="H1:O1"/>
    <mergeCell ref="H2:O2"/>
    <mergeCell ref="A5:O5"/>
    <mergeCell ref="A6:O6"/>
    <mergeCell ref="A19:O19"/>
    <mergeCell ref="A8:O8"/>
    <mergeCell ref="A9:O9"/>
    <mergeCell ref="A10:O10"/>
    <mergeCell ref="A11:O11"/>
    <mergeCell ref="A12:O12"/>
    <mergeCell ref="A13:O13"/>
    <mergeCell ref="A14:O14"/>
    <mergeCell ref="A15:O15"/>
    <mergeCell ref="A16:O16"/>
    <mergeCell ref="A17:O17"/>
    <mergeCell ref="A18:O18"/>
    <mergeCell ref="A34:O34"/>
    <mergeCell ref="A20:O20"/>
    <mergeCell ref="A21:O21"/>
    <mergeCell ref="A22:O22"/>
    <mergeCell ref="A23:O23"/>
    <mergeCell ref="A24:O24"/>
    <mergeCell ref="A25:O25"/>
    <mergeCell ref="A26:O26"/>
    <mergeCell ref="A29:O29"/>
    <mergeCell ref="A30:O30"/>
    <mergeCell ref="A31:O31"/>
    <mergeCell ref="A33:O33"/>
    <mergeCell ref="A43:O43"/>
    <mergeCell ref="A44:O44"/>
    <mergeCell ref="A36:O36"/>
    <mergeCell ref="A37:O37"/>
    <mergeCell ref="A38:O38"/>
    <mergeCell ref="A51:D51"/>
    <mergeCell ref="J51:O51"/>
    <mergeCell ref="A27:O27"/>
    <mergeCell ref="A28:O28"/>
    <mergeCell ref="A32:O32"/>
    <mergeCell ref="A35:O35"/>
    <mergeCell ref="A45:O45"/>
    <mergeCell ref="A46:O46"/>
    <mergeCell ref="A47:C47"/>
    <mergeCell ref="D47:F47"/>
    <mergeCell ref="A48:O48"/>
    <mergeCell ref="J50:O50"/>
    <mergeCell ref="A39:O39"/>
    <mergeCell ref="A40:O40"/>
    <mergeCell ref="A41:O41"/>
    <mergeCell ref="A42:O42"/>
  </mergeCells>
  <pageMargins left="1.18" right="0.59" top="0.79" bottom="0.79" header="0.3" footer="0.3"/>
  <pageSetup paperSize="9" scale="85" orientation="landscape"/>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indexed="21"/>
  </sheetPr>
  <dimension ref="A1:AA94"/>
  <sheetViews>
    <sheetView showZeros="0" workbookViewId="0">
      <selection sqref="A1:D1"/>
    </sheetView>
  </sheetViews>
  <sheetFormatPr defaultColWidth="9.140625" defaultRowHeight="15" x14ac:dyDescent="0.25"/>
  <cols>
    <col min="1" max="1" width="7.28515625" style="794" customWidth="1"/>
    <col min="2" max="2" width="5.85546875" style="621" customWidth="1"/>
    <col min="3" max="3" width="13.42578125" style="392" customWidth="1"/>
    <col min="4" max="4" width="39.5703125" style="794" customWidth="1"/>
    <col min="5" max="5" width="66.5703125" style="794" customWidth="1"/>
    <col min="6" max="6" width="25.140625" style="794" customWidth="1"/>
    <col min="7" max="16384" width="9.140625" style="794"/>
  </cols>
  <sheetData>
    <row r="1" spans="1:27" x14ac:dyDescent="0.25">
      <c r="B1" s="1243" t="s">
        <v>1005</v>
      </c>
      <c r="C1" s="1243"/>
      <c r="D1" s="1244"/>
      <c r="E1" s="513"/>
    </row>
    <row r="2" spans="1:27" ht="18.75" x14ac:dyDescent="0.3">
      <c r="B2" s="343"/>
      <c r="C2" s="570"/>
      <c r="D2" s="343"/>
      <c r="E2" s="343"/>
      <c r="F2" s="343"/>
    </row>
    <row r="3" spans="1:27" x14ac:dyDescent="0.25">
      <c r="A3" s="794" t="s">
        <v>1095</v>
      </c>
      <c r="B3" s="1245" t="s">
        <v>1452</v>
      </c>
      <c r="C3" s="1245"/>
      <c r="D3" s="1245"/>
      <c r="E3" s="1245"/>
      <c r="F3" s="1245"/>
    </row>
    <row r="4" spans="1:27" ht="17.25" customHeight="1" x14ac:dyDescent="0.25">
      <c r="B4" s="781" t="s">
        <v>1323</v>
      </c>
      <c r="C4" s="579" t="s">
        <v>941</v>
      </c>
      <c r="D4" s="781" t="s">
        <v>595</v>
      </c>
      <c r="E4" s="781" t="s">
        <v>823</v>
      </c>
      <c r="F4" s="781" t="s">
        <v>1056</v>
      </c>
      <c r="G4" s="874"/>
      <c r="H4" s="874"/>
      <c r="I4" s="874"/>
      <c r="J4" s="874"/>
      <c r="K4" s="874"/>
      <c r="L4" s="874"/>
      <c r="M4" s="874"/>
      <c r="N4" s="874"/>
      <c r="O4" s="874"/>
      <c r="P4" s="874"/>
      <c r="Q4" s="874"/>
      <c r="R4" s="874"/>
      <c r="S4" s="874"/>
      <c r="T4" s="874"/>
      <c r="U4" s="874"/>
      <c r="V4" s="874"/>
      <c r="W4" s="874"/>
      <c r="X4" s="874"/>
      <c r="Y4" s="874"/>
      <c r="Z4" s="874"/>
      <c r="AA4" s="874"/>
    </row>
    <row r="5" spans="1:27" x14ac:dyDescent="0.25">
      <c r="B5" s="20">
        <v>1</v>
      </c>
      <c r="C5" s="718"/>
      <c r="D5" s="699" t="s">
        <v>849</v>
      </c>
      <c r="E5" s="699" t="s">
        <v>1271</v>
      </c>
      <c r="F5" s="909"/>
      <c r="G5" s="874"/>
      <c r="H5" s="874"/>
      <c r="I5" s="874"/>
      <c r="J5" s="874"/>
      <c r="K5" s="874"/>
      <c r="L5" s="874"/>
      <c r="M5" s="874"/>
      <c r="N5" s="874"/>
      <c r="O5" s="874"/>
      <c r="P5" s="874"/>
      <c r="Q5" s="874"/>
      <c r="R5" s="874"/>
      <c r="S5" s="874"/>
      <c r="T5" s="874"/>
      <c r="U5" s="874"/>
      <c r="V5" s="874"/>
      <c r="W5" s="874"/>
      <c r="X5" s="874"/>
      <c r="Y5" s="874"/>
      <c r="Z5" s="874"/>
      <c r="AA5" s="874"/>
    </row>
    <row r="6" spans="1:27" x14ac:dyDescent="0.25">
      <c r="B6" s="262">
        <f t="shared" ref="B6:B29" si="0">B5+1</f>
        <v>2</v>
      </c>
      <c r="C6" s="35"/>
      <c r="D6" s="234" t="s">
        <v>617</v>
      </c>
      <c r="E6" s="224" t="s">
        <v>378</v>
      </c>
      <c r="F6" s="234"/>
      <c r="G6" s="874"/>
      <c r="H6" s="874"/>
      <c r="I6" s="874"/>
      <c r="J6" s="874"/>
      <c r="K6" s="874"/>
      <c r="L6" s="874"/>
      <c r="M6" s="874"/>
      <c r="N6" s="874"/>
      <c r="O6" s="874"/>
      <c r="P6" s="874"/>
      <c r="Q6" s="874"/>
      <c r="R6" s="874"/>
      <c r="S6" s="874"/>
      <c r="T6" s="874"/>
      <c r="U6" s="874"/>
      <c r="V6" s="874"/>
      <c r="W6" s="874"/>
      <c r="X6" s="874"/>
      <c r="Y6" s="874"/>
      <c r="Z6" s="874"/>
      <c r="AA6" s="874"/>
    </row>
    <row r="7" spans="1:27" x14ac:dyDescent="0.25">
      <c r="B7" s="262">
        <f t="shared" si="0"/>
        <v>3</v>
      </c>
      <c r="C7" s="35"/>
      <c r="D7" s="234" t="s">
        <v>1014</v>
      </c>
      <c r="E7" s="224" t="s">
        <v>120</v>
      </c>
      <c r="F7" s="234"/>
      <c r="G7" s="874"/>
      <c r="H7" s="874"/>
      <c r="I7" s="874"/>
      <c r="J7" s="874"/>
      <c r="K7" s="874"/>
      <c r="L7" s="874"/>
      <c r="M7" s="874"/>
      <c r="N7" s="874"/>
      <c r="O7" s="874"/>
      <c r="P7" s="874"/>
      <c r="Q7" s="874"/>
      <c r="R7" s="874"/>
      <c r="S7" s="874"/>
      <c r="T7" s="874"/>
      <c r="U7" s="874"/>
      <c r="V7" s="874"/>
      <c r="W7" s="874"/>
      <c r="X7" s="874"/>
      <c r="Y7" s="874"/>
      <c r="Z7" s="874"/>
      <c r="AA7" s="874"/>
    </row>
    <row r="8" spans="1:27" x14ac:dyDescent="0.25">
      <c r="B8" s="262">
        <f t="shared" si="0"/>
        <v>4</v>
      </c>
      <c r="C8" s="35"/>
      <c r="D8" s="234" t="s">
        <v>104</v>
      </c>
      <c r="E8" s="224" t="s">
        <v>120</v>
      </c>
      <c r="F8" s="234"/>
      <c r="G8" s="874"/>
      <c r="H8" s="874"/>
      <c r="I8" s="874"/>
      <c r="J8" s="874"/>
      <c r="K8" s="874"/>
      <c r="L8" s="874"/>
      <c r="M8" s="874"/>
      <c r="N8" s="874"/>
      <c r="O8" s="874"/>
      <c r="P8" s="874"/>
      <c r="Q8" s="874"/>
      <c r="R8" s="874"/>
      <c r="S8" s="874"/>
      <c r="T8" s="874"/>
      <c r="U8" s="874"/>
      <c r="V8" s="874"/>
      <c r="W8" s="874"/>
      <c r="X8" s="874"/>
      <c r="Y8" s="874"/>
      <c r="Z8" s="874"/>
      <c r="AA8" s="874"/>
    </row>
    <row r="9" spans="1:27" x14ac:dyDescent="0.25">
      <c r="B9" s="262">
        <f t="shared" si="0"/>
        <v>5</v>
      </c>
      <c r="C9" s="35"/>
      <c r="D9" s="234" t="s">
        <v>589</v>
      </c>
      <c r="E9" s="234" t="s">
        <v>32</v>
      </c>
      <c r="F9" s="234"/>
      <c r="G9" s="874"/>
      <c r="H9" s="874"/>
      <c r="I9" s="874"/>
      <c r="J9" s="874"/>
      <c r="K9" s="874"/>
      <c r="L9" s="874"/>
      <c r="M9" s="874"/>
      <c r="N9" s="874"/>
      <c r="O9" s="874"/>
      <c r="P9" s="874"/>
      <c r="Q9" s="874"/>
      <c r="R9" s="874"/>
      <c r="S9" s="874"/>
      <c r="T9" s="874"/>
      <c r="U9" s="874"/>
      <c r="V9" s="874"/>
      <c r="W9" s="874"/>
      <c r="X9" s="874"/>
      <c r="Y9" s="874"/>
      <c r="Z9" s="874"/>
      <c r="AA9" s="874"/>
    </row>
    <row r="10" spans="1:27" x14ac:dyDescent="0.25">
      <c r="B10" s="262">
        <f t="shared" si="0"/>
        <v>6</v>
      </c>
      <c r="C10" s="35"/>
      <c r="D10" s="234" t="s">
        <v>1451</v>
      </c>
      <c r="E10" s="234" t="s">
        <v>475</v>
      </c>
      <c r="F10" s="234"/>
      <c r="G10" s="874"/>
      <c r="H10" s="874"/>
      <c r="I10" s="874"/>
      <c r="J10" s="874"/>
      <c r="K10" s="874"/>
      <c r="L10" s="874"/>
      <c r="M10" s="874"/>
      <c r="N10" s="874"/>
      <c r="O10" s="874"/>
      <c r="P10" s="874"/>
      <c r="Q10" s="874"/>
      <c r="R10" s="874"/>
      <c r="S10" s="874"/>
      <c r="T10" s="874"/>
      <c r="U10" s="874"/>
      <c r="V10" s="874"/>
      <c r="W10" s="874"/>
      <c r="X10" s="874"/>
      <c r="Y10" s="874"/>
      <c r="Z10" s="874"/>
      <c r="AA10" s="874"/>
    </row>
    <row r="11" spans="1:27" x14ac:dyDescent="0.25">
      <c r="B11" s="262">
        <f t="shared" si="0"/>
        <v>7</v>
      </c>
      <c r="C11" s="35"/>
      <c r="D11" s="234" t="s">
        <v>781</v>
      </c>
      <c r="E11" s="234" t="s">
        <v>1281</v>
      </c>
      <c r="F11" s="234"/>
      <c r="G11" s="874"/>
      <c r="H11" s="874"/>
      <c r="I11" s="874"/>
      <c r="J11" s="874"/>
      <c r="K11" s="874"/>
      <c r="L11" s="874"/>
      <c r="M11" s="874"/>
      <c r="N11" s="874"/>
      <c r="O11" s="874"/>
      <c r="P11" s="874"/>
      <c r="Q11" s="874"/>
      <c r="R11" s="874"/>
      <c r="S11" s="874"/>
      <c r="T11" s="874"/>
      <c r="U11" s="874"/>
      <c r="V11" s="874"/>
      <c r="W11" s="874"/>
      <c r="X11" s="874"/>
      <c r="Y11" s="874"/>
      <c r="Z11" s="874"/>
      <c r="AA11" s="874"/>
    </row>
    <row r="12" spans="1:27" x14ac:dyDescent="0.25">
      <c r="B12" s="262">
        <f t="shared" si="0"/>
        <v>8</v>
      </c>
      <c r="C12" s="35"/>
      <c r="D12" s="234" t="s">
        <v>666</v>
      </c>
      <c r="E12" s="234"/>
      <c r="F12" s="234"/>
      <c r="G12" s="874"/>
      <c r="H12" s="874"/>
      <c r="I12" s="874"/>
      <c r="J12" s="874"/>
      <c r="K12" s="874"/>
      <c r="L12" s="874"/>
      <c r="M12" s="874"/>
      <c r="N12" s="874"/>
      <c r="O12" s="874"/>
      <c r="P12" s="874"/>
      <c r="Q12" s="874"/>
      <c r="R12" s="874"/>
      <c r="S12" s="874"/>
      <c r="T12" s="874"/>
      <c r="U12" s="874"/>
      <c r="V12" s="874"/>
      <c r="W12" s="874"/>
      <c r="X12" s="874"/>
      <c r="Y12" s="874"/>
      <c r="Z12" s="874"/>
      <c r="AA12" s="874"/>
    </row>
    <row r="13" spans="1:27" x14ac:dyDescent="0.25">
      <c r="B13" s="262">
        <f t="shared" si="0"/>
        <v>9</v>
      </c>
      <c r="C13" s="35"/>
      <c r="D13" s="234"/>
      <c r="E13" s="234"/>
      <c r="F13" s="234"/>
      <c r="G13" s="874"/>
      <c r="H13" s="874"/>
      <c r="I13" s="874"/>
      <c r="J13" s="874"/>
      <c r="K13" s="874"/>
      <c r="L13" s="874"/>
      <c r="M13" s="874"/>
      <c r="N13" s="874"/>
      <c r="O13" s="874"/>
      <c r="P13" s="874"/>
      <c r="Q13" s="874"/>
      <c r="R13" s="874"/>
      <c r="S13" s="874"/>
      <c r="T13" s="874"/>
      <c r="U13" s="874"/>
      <c r="V13" s="874"/>
      <c r="W13" s="874"/>
      <c r="X13" s="874"/>
      <c r="Y13" s="874"/>
      <c r="Z13" s="874"/>
      <c r="AA13" s="874"/>
    </row>
    <row r="14" spans="1:27" x14ac:dyDescent="0.25">
      <c r="B14" s="262">
        <f t="shared" si="0"/>
        <v>10</v>
      </c>
      <c r="C14" s="35"/>
      <c r="D14" s="234"/>
      <c r="E14" s="234"/>
      <c r="F14" s="234"/>
      <c r="G14" s="874"/>
      <c r="H14" s="874"/>
      <c r="I14" s="874"/>
      <c r="J14" s="874"/>
      <c r="K14" s="874"/>
      <c r="L14" s="874"/>
      <c r="M14" s="874"/>
      <c r="N14" s="874"/>
      <c r="O14" s="874"/>
      <c r="P14" s="874"/>
      <c r="Q14" s="874"/>
      <c r="R14" s="874"/>
      <c r="S14" s="874"/>
      <c r="T14" s="874"/>
      <c r="U14" s="874"/>
      <c r="V14" s="874"/>
      <c r="W14" s="874"/>
      <c r="X14" s="874"/>
      <c r="Y14" s="874"/>
      <c r="Z14" s="874"/>
      <c r="AA14" s="874"/>
    </row>
    <row r="15" spans="1:27" x14ac:dyDescent="0.25">
      <c r="B15" s="262">
        <f t="shared" si="0"/>
        <v>11</v>
      </c>
      <c r="C15" s="35"/>
      <c r="D15" s="234"/>
      <c r="E15" s="234"/>
      <c r="F15" s="234"/>
      <c r="G15" s="874"/>
      <c r="H15" s="874"/>
      <c r="I15" s="874"/>
      <c r="J15" s="874"/>
      <c r="K15" s="874"/>
      <c r="L15" s="874"/>
      <c r="M15" s="874"/>
      <c r="N15" s="874"/>
      <c r="O15" s="874"/>
      <c r="P15" s="874"/>
      <c r="Q15" s="874"/>
      <c r="R15" s="874"/>
      <c r="S15" s="874"/>
      <c r="T15" s="874"/>
      <c r="U15" s="874"/>
      <c r="V15" s="874"/>
      <c r="W15" s="874"/>
      <c r="X15" s="874"/>
      <c r="Y15" s="874"/>
      <c r="Z15" s="874"/>
      <c r="AA15" s="874"/>
    </row>
    <row r="16" spans="1:27" x14ac:dyDescent="0.25">
      <c r="B16" s="262">
        <f t="shared" si="0"/>
        <v>12</v>
      </c>
      <c r="C16" s="35"/>
      <c r="D16" s="234" t="s">
        <v>1411</v>
      </c>
      <c r="E16" s="234" t="s">
        <v>413</v>
      </c>
      <c r="F16" s="234"/>
      <c r="G16" s="874"/>
      <c r="H16" s="874"/>
      <c r="I16" s="874"/>
      <c r="J16" s="874"/>
      <c r="K16" s="874"/>
      <c r="L16" s="874"/>
      <c r="M16" s="874"/>
      <c r="N16" s="874"/>
      <c r="O16" s="874"/>
      <c r="P16" s="874"/>
      <c r="Q16" s="874"/>
      <c r="R16" s="874"/>
      <c r="S16" s="874"/>
      <c r="T16" s="874"/>
      <c r="U16" s="874"/>
      <c r="V16" s="874"/>
      <c r="W16" s="874"/>
      <c r="X16" s="874"/>
      <c r="Y16" s="874"/>
      <c r="Z16" s="874"/>
      <c r="AA16" s="874"/>
    </row>
    <row r="17" spans="1:27" x14ac:dyDescent="0.25">
      <c r="B17" s="262">
        <f t="shared" si="0"/>
        <v>13</v>
      </c>
      <c r="C17" s="35"/>
      <c r="D17" s="234" t="s">
        <v>603</v>
      </c>
      <c r="E17" s="552">
        <v>46001.697905092595</v>
      </c>
      <c r="F17" s="234"/>
      <c r="G17" s="874"/>
      <c r="H17" s="874"/>
      <c r="I17" s="874"/>
      <c r="J17" s="874"/>
      <c r="K17" s="874"/>
      <c r="L17" s="874"/>
      <c r="M17" s="874"/>
      <c r="N17" s="874"/>
      <c r="O17" s="874"/>
      <c r="P17" s="874"/>
      <c r="Q17" s="874"/>
      <c r="R17" s="874"/>
      <c r="S17" s="874"/>
      <c r="T17" s="874"/>
      <c r="U17" s="874"/>
      <c r="V17" s="874"/>
      <c r="W17" s="874"/>
      <c r="X17" s="874"/>
      <c r="Y17" s="874"/>
      <c r="Z17" s="874"/>
      <c r="AA17" s="874"/>
    </row>
    <row r="18" spans="1:27" x14ac:dyDescent="0.25">
      <c r="B18" s="262">
        <f t="shared" si="0"/>
        <v>14</v>
      </c>
      <c r="C18" s="35"/>
      <c r="D18" s="234" t="s">
        <v>159</v>
      </c>
      <c r="E18" s="234" t="s">
        <v>531</v>
      </c>
      <c r="F18" s="234"/>
      <c r="G18" s="874"/>
      <c r="H18" s="874"/>
      <c r="I18" s="874"/>
      <c r="J18" s="874"/>
      <c r="K18" s="874"/>
      <c r="L18" s="874"/>
      <c r="M18" s="874"/>
      <c r="N18" s="874"/>
      <c r="O18" s="874"/>
      <c r="P18" s="874"/>
      <c r="Q18" s="874"/>
      <c r="R18" s="874"/>
      <c r="S18" s="874"/>
      <c r="T18" s="874"/>
      <c r="U18" s="874"/>
      <c r="V18" s="874"/>
      <c r="W18" s="874"/>
      <c r="X18" s="874"/>
      <c r="Y18" s="874"/>
      <c r="Z18" s="874"/>
      <c r="AA18" s="874"/>
    </row>
    <row r="19" spans="1:27" x14ac:dyDescent="0.25">
      <c r="B19" s="262">
        <f t="shared" si="0"/>
        <v>15</v>
      </c>
      <c r="C19" s="35"/>
      <c r="D19" s="234" t="s">
        <v>979</v>
      </c>
      <c r="E19" s="234" t="s">
        <v>1131</v>
      </c>
      <c r="F19" s="234"/>
      <c r="G19" s="874"/>
      <c r="H19" s="874"/>
      <c r="I19" s="874"/>
      <c r="J19" s="874"/>
      <c r="K19" s="874"/>
      <c r="L19" s="874"/>
      <c r="M19" s="874"/>
      <c r="N19" s="874"/>
      <c r="O19" s="874"/>
      <c r="P19" s="874"/>
      <c r="Q19" s="874"/>
      <c r="R19" s="874"/>
      <c r="S19" s="874"/>
      <c r="T19" s="874"/>
      <c r="U19" s="874"/>
      <c r="V19" s="874"/>
      <c r="W19" s="874"/>
      <c r="X19" s="874"/>
      <c r="Y19" s="874"/>
      <c r="Z19" s="874"/>
      <c r="AA19" s="874"/>
    </row>
    <row r="20" spans="1:27" x14ac:dyDescent="0.25">
      <c r="B20" s="262">
        <f t="shared" si="0"/>
        <v>16</v>
      </c>
      <c r="C20" s="35"/>
      <c r="D20" s="234"/>
      <c r="E20" s="234"/>
      <c r="F20" s="234"/>
      <c r="G20" s="874"/>
      <c r="H20" s="874"/>
      <c r="I20" s="874"/>
      <c r="J20" s="874"/>
      <c r="K20" s="874"/>
      <c r="L20" s="874"/>
      <c r="M20" s="874"/>
      <c r="N20" s="874"/>
      <c r="O20" s="874"/>
      <c r="P20" s="874"/>
      <c r="Q20" s="874"/>
      <c r="R20" s="874"/>
      <c r="S20" s="874"/>
      <c r="T20" s="874"/>
      <c r="U20" s="874"/>
      <c r="V20" s="874"/>
      <c r="W20" s="874"/>
      <c r="X20" s="874"/>
      <c r="Y20" s="874"/>
      <c r="Z20" s="874"/>
      <c r="AA20" s="874"/>
    </row>
    <row r="21" spans="1:27" x14ac:dyDescent="0.25">
      <c r="B21" s="262">
        <f t="shared" si="0"/>
        <v>17</v>
      </c>
      <c r="C21" s="35"/>
      <c r="D21" s="234"/>
      <c r="E21" s="234"/>
      <c r="F21" s="234"/>
      <c r="G21" s="874"/>
      <c r="H21" s="874"/>
      <c r="I21" s="874"/>
      <c r="J21" s="874"/>
      <c r="K21" s="874"/>
      <c r="L21" s="874"/>
      <c r="M21" s="874"/>
      <c r="N21" s="874"/>
      <c r="O21" s="874"/>
      <c r="P21" s="874"/>
      <c r="Q21" s="874"/>
      <c r="R21" s="874"/>
      <c r="S21" s="874"/>
      <c r="T21" s="874"/>
      <c r="U21" s="874"/>
      <c r="V21" s="874"/>
      <c r="W21" s="874"/>
      <c r="X21" s="874"/>
      <c r="Y21" s="874"/>
      <c r="Z21" s="874"/>
      <c r="AA21" s="874"/>
    </row>
    <row r="22" spans="1:27" x14ac:dyDescent="0.25">
      <c r="B22" s="173">
        <f t="shared" si="0"/>
        <v>18</v>
      </c>
      <c r="C22" s="841"/>
      <c r="D22" s="147"/>
      <c r="E22" s="147"/>
      <c r="F22" s="147"/>
    </row>
    <row r="23" spans="1:27" x14ac:dyDescent="0.25">
      <c r="B23" s="173">
        <f t="shared" si="0"/>
        <v>19</v>
      </c>
      <c r="C23" s="841"/>
      <c r="D23" s="147"/>
      <c r="E23" s="147"/>
      <c r="F23" s="147"/>
    </row>
    <row r="24" spans="1:27" x14ac:dyDescent="0.25">
      <c r="B24" s="173">
        <f t="shared" si="0"/>
        <v>20</v>
      </c>
      <c r="C24" s="841"/>
      <c r="D24" s="147"/>
      <c r="E24" s="147"/>
      <c r="F24" s="147"/>
    </row>
    <row r="25" spans="1:27" x14ac:dyDescent="0.25">
      <c r="B25" s="173">
        <f t="shared" si="0"/>
        <v>21</v>
      </c>
      <c r="C25" s="841"/>
      <c r="D25" s="147"/>
      <c r="E25" s="147"/>
      <c r="F25" s="147"/>
    </row>
    <row r="26" spans="1:27" x14ac:dyDescent="0.25">
      <c r="B26" s="173">
        <f t="shared" si="0"/>
        <v>22</v>
      </c>
      <c r="C26" s="841"/>
      <c r="D26" s="147"/>
      <c r="E26" s="147"/>
      <c r="F26" s="147"/>
    </row>
    <row r="27" spans="1:27" x14ac:dyDescent="0.25">
      <c r="B27" s="173">
        <f t="shared" si="0"/>
        <v>23</v>
      </c>
      <c r="C27" s="841"/>
      <c r="D27" s="147"/>
      <c r="E27" s="147"/>
      <c r="F27" s="147"/>
    </row>
    <row r="28" spans="1:27" x14ac:dyDescent="0.25">
      <c r="B28" s="173">
        <f t="shared" si="0"/>
        <v>24</v>
      </c>
      <c r="C28" s="841"/>
      <c r="D28" s="147"/>
      <c r="E28" s="147"/>
      <c r="F28" s="147"/>
    </row>
    <row r="29" spans="1:27" x14ac:dyDescent="0.25">
      <c r="B29" s="721">
        <f t="shared" si="0"/>
        <v>25</v>
      </c>
      <c r="C29" s="860"/>
      <c r="D29" s="703"/>
      <c r="E29" s="703"/>
      <c r="F29" s="703"/>
    </row>
    <row r="31" spans="1:27" x14ac:dyDescent="0.25">
      <c r="A31" s="794" t="s">
        <v>1095</v>
      </c>
      <c r="B31" s="1246" t="s">
        <v>935</v>
      </c>
      <c r="C31" s="1246"/>
      <c r="D31" s="1246"/>
      <c r="E31" s="1246"/>
      <c r="F31" s="1246"/>
    </row>
    <row r="32" spans="1:27" x14ac:dyDescent="0.25">
      <c r="B32" s="770" t="s">
        <v>1323</v>
      </c>
      <c r="C32" s="559" t="s">
        <v>941</v>
      </c>
      <c r="D32" s="770" t="s">
        <v>595</v>
      </c>
      <c r="E32" s="770" t="s">
        <v>419</v>
      </c>
      <c r="F32" s="242"/>
    </row>
    <row r="33" spans="1:6" ht="15" customHeight="1" x14ac:dyDescent="0.25">
      <c r="B33" s="830">
        <v>1</v>
      </c>
      <c r="C33" s="85"/>
      <c r="D33" s="751" t="s">
        <v>24</v>
      </c>
      <c r="E33" s="751" t="s">
        <v>1235</v>
      </c>
      <c r="F33" s="505"/>
    </row>
    <row r="34" spans="1:6" x14ac:dyDescent="0.25">
      <c r="B34" s="173">
        <f>B33+1</f>
        <v>2</v>
      </c>
      <c r="C34" s="841"/>
      <c r="D34" s="147" t="s">
        <v>979</v>
      </c>
      <c r="E34" s="147"/>
      <c r="F34" s="505"/>
    </row>
    <row r="35" spans="1:6" x14ac:dyDescent="0.25">
      <c r="B35" s="830">
        <v>2</v>
      </c>
      <c r="C35" s="85"/>
      <c r="D35" s="147" t="s">
        <v>750</v>
      </c>
      <c r="E35" s="147"/>
      <c r="F35" s="505"/>
    </row>
    <row r="36" spans="1:6" x14ac:dyDescent="0.25">
      <c r="B36" s="173">
        <f>B35+1</f>
        <v>3</v>
      </c>
      <c r="C36" s="841"/>
      <c r="D36" s="147" t="s">
        <v>688</v>
      </c>
      <c r="E36" s="147"/>
      <c r="F36" s="505"/>
    </row>
    <row r="37" spans="1:6" x14ac:dyDescent="0.25">
      <c r="B37" s="830">
        <v>3</v>
      </c>
      <c r="C37" s="85"/>
      <c r="D37" s="147" t="s">
        <v>321</v>
      </c>
      <c r="E37" s="147"/>
      <c r="F37" s="505"/>
    </row>
    <row r="38" spans="1:6" x14ac:dyDescent="0.25">
      <c r="B38" s="173">
        <f>B37+1</f>
        <v>4</v>
      </c>
      <c r="C38" s="841"/>
      <c r="D38" s="147" t="s">
        <v>282</v>
      </c>
      <c r="E38" s="147"/>
      <c r="F38" s="505"/>
    </row>
    <row r="39" spans="1:6" x14ac:dyDescent="0.25">
      <c r="A39" s="794" t="s">
        <v>1095</v>
      </c>
      <c r="B39" s="830">
        <v>4</v>
      </c>
      <c r="C39" s="85"/>
      <c r="D39" s="526" t="s">
        <v>1392</v>
      </c>
      <c r="E39" s="147"/>
      <c r="F39" s="505"/>
    </row>
    <row r="40" spans="1:6" x14ac:dyDescent="0.25">
      <c r="B40" s="173">
        <f>B39+1</f>
        <v>5</v>
      </c>
      <c r="C40" s="841"/>
      <c r="D40" s="369" t="s">
        <v>668</v>
      </c>
      <c r="E40" s="147"/>
      <c r="F40" s="505"/>
    </row>
    <row r="41" spans="1:6" x14ac:dyDescent="0.25">
      <c r="B41" s="830">
        <v>5</v>
      </c>
      <c r="C41" s="85"/>
      <c r="D41" s="369" t="s">
        <v>1344</v>
      </c>
      <c r="E41" s="147"/>
      <c r="F41" s="505"/>
    </row>
    <row r="42" spans="1:6" x14ac:dyDescent="0.25">
      <c r="B42" s="173">
        <f>B41+1</f>
        <v>6</v>
      </c>
      <c r="C42" s="841"/>
      <c r="D42" s="369" t="s">
        <v>1090</v>
      </c>
      <c r="E42" s="147"/>
      <c r="F42" s="505"/>
    </row>
    <row r="43" spans="1:6" x14ac:dyDescent="0.25">
      <c r="B43" s="830">
        <v>6</v>
      </c>
      <c r="C43" s="85"/>
      <c r="D43" s="369" t="s">
        <v>973</v>
      </c>
      <c r="E43" s="147"/>
      <c r="F43" s="505"/>
    </row>
    <row r="44" spans="1:6" x14ac:dyDescent="0.25">
      <c r="B44" s="173">
        <f>B43+1</f>
        <v>7</v>
      </c>
      <c r="C44" s="841"/>
      <c r="D44" s="369" t="s">
        <v>732</v>
      </c>
      <c r="E44" s="147"/>
      <c r="F44" s="505"/>
    </row>
    <row r="45" spans="1:6" x14ac:dyDescent="0.25">
      <c r="B45" s="830">
        <v>7</v>
      </c>
      <c r="C45" s="85"/>
      <c r="D45" s="369" t="s">
        <v>12</v>
      </c>
      <c r="E45" s="147"/>
      <c r="F45" s="505"/>
    </row>
    <row r="46" spans="1:6" x14ac:dyDescent="0.25">
      <c r="B46" s="173">
        <f>B45+1</f>
        <v>8</v>
      </c>
      <c r="C46" s="841"/>
      <c r="D46" s="369" t="s">
        <v>519</v>
      </c>
      <c r="E46" s="147"/>
      <c r="F46" s="505"/>
    </row>
    <row r="47" spans="1:6" x14ac:dyDescent="0.25">
      <c r="B47" s="830">
        <v>8</v>
      </c>
      <c r="C47" s="85"/>
      <c r="D47" s="369" t="s">
        <v>751</v>
      </c>
      <c r="E47" s="147"/>
      <c r="F47" s="505"/>
    </row>
    <row r="48" spans="1:6" x14ac:dyDescent="0.25">
      <c r="B48" s="173">
        <f t="shared" ref="B48:B53" si="1">B47+1</f>
        <v>9</v>
      </c>
      <c r="C48" s="841"/>
      <c r="D48" s="369" t="s">
        <v>1444</v>
      </c>
      <c r="E48" s="147"/>
      <c r="F48" s="505"/>
    </row>
    <row r="49" spans="1:6" x14ac:dyDescent="0.25">
      <c r="B49" s="173">
        <f t="shared" si="1"/>
        <v>10</v>
      </c>
      <c r="C49" s="841"/>
      <c r="D49" s="369" t="s">
        <v>1396</v>
      </c>
      <c r="E49" s="147"/>
      <c r="F49" s="505"/>
    </row>
    <row r="50" spans="1:6" x14ac:dyDescent="0.25">
      <c r="B50" s="173">
        <f t="shared" si="1"/>
        <v>11</v>
      </c>
      <c r="C50" s="241"/>
      <c r="D50" s="876" t="s">
        <v>98</v>
      </c>
      <c r="E50" s="59"/>
      <c r="F50" s="505"/>
    </row>
    <row r="51" spans="1:6" x14ac:dyDescent="0.25">
      <c r="B51" s="173">
        <f t="shared" si="1"/>
        <v>12</v>
      </c>
      <c r="C51" s="841"/>
      <c r="D51" s="611" t="s">
        <v>833</v>
      </c>
      <c r="E51" s="59" t="s">
        <v>641</v>
      </c>
      <c r="F51" s="505"/>
    </row>
    <row r="52" spans="1:6" x14ac:dyDescent="0.25">
      <c r="B52" s="173">
        <f t="shared" si="1"/>
        <v>13</v>
      </c>
      <c r="C52" s="841"/>
      <c r="D52" s="611"/>
      <c r="E52" s="59"/>
      <c r="F52" s="505"/>
    </row>
    <row r="53" spans="1:6" x14ac:dyDescent="0.25">
      <c r="B53" s="173">
        <f t="shared" si="1"/>
        <v>14</v>
      </c>
      <c r="C53" s="841"/>
      <c r="D53" s="611"/>
      <c r="E53" s="59"/>
      <c r="F53" s="505"/>
    </row>
    <row r="54" spans="1:6" x14ac:dyDescent="0.25">
      <c r="B54" s="173"/>
      <c r="C54" s="841"/>
      <c r="D54" s="611"/>
      <c r="E54" s="59"/>
      <c r="F54" s="505"/>
    </row>
    <row r="55" spans="1:6" x14ac:dyDescent="0.25">
      <c r="B55" s="173">
        <f>B53+1</f>
        <v>15</v>
      </c>
      <c r="C55" s="841"/>
      <c r="D55" s="611"/>
      <c r="E55" s="59"/>
      <c r="F55" s="505"/>
    </row>
    <row r="56" spans="1:6" x14ac:dyDescent="0.25">
      <c r="B56" s="173">
        <f t="shared" ref="B56:B94" si="2">B55+1</f>
        <v>16</v>
      </c>
      <c r="C56" s="841"/>
      <c r="D56" s="611"/>
      <c r="E56" s="59"/>
      <c r="F56" s="505"/>
    </row>
    <row r="57" spans="1:6" x14ac:dyDescent="0.25">
      <c r="A57" s="794" t="s">
        <v>1095</v>
      </c>
      <c r="B57" s="173">
        <f t="shared" si="2"/>
        <v>17</v>
      </c>
      <c r="C57" s="841"/>
      <c r="D57" s="470" t="s">
        <v>845</v>
      </c>
      <c r="E57" s="470"/>
      <c r="F57" s="505"/>
    </row>
    <row r="58" spans="1:6" x14ac:dyDescent="0.25">
      <c r="B58" s="173">
        <f t="shared" si="2"/>
        <v>18</v>
      </c>
      <c r="C58" s="841"/>
      <c r="D58" s="592"/>
      <c r="E58" s="132"/>
      <c r="F58" s="505"/>
    </row>
    <row r="59" spans="1:6" x14ac:dyDescent="0.25">
      <c r="B59" s="173">
        <f t="shared" si="2"/>
        <v>19</v>
      </c>
      <c r="C59" s="841" t="s">
        <v>722</v>
      </c>
      <c r="D59" s="592" t="s">
        <v>645</v>
      </c>
      <c r="E59" s="138">
        <f>10%</f>
        <v>0.1</v>
      </c>
      <c r="F59" s="505"/>
    </row>
    <row r="60" spans="1:6" x14ac:dyDescent="0.25">
      <c r="B60" s="173">
        <f t="shared" si="2"/>
        <v>20</v>
      </c>
      <c r="C60" s="841" t="s">
        <v>507</v>
      </c>
      <c r="D60" s="592" t="s">
        <v>1270</v>
      </c>
      <c r="E60" s="135">
        <f>1.1%</f>
        <v>1.1000000000000001E-2</v>
      </c>
      <c r="F60" s="505"/>
    </row>
    <row r="61" spans="1:6" x14ac:dyDescent="0.25">
      <c r="B61" s="173">
        <f t="shared" si="2"/>
        <v>21</v>
      </c>
      <c r="C61" s="841" t="s">
        <v>107</v>
      </c>
      <c r="D61" s="592" t="s">
        <v>1042</v>
      </c>
      <c r="E61" s="138">
        <f>8%</f>
        <v>0.08</v>
      </c>
      <c r="F61" s="505"/>
    </row>
    <row r="62" spans="1:6" x14ac:dyDescent="0.25">
      <c r="B62" s="173">
        <f t="shared" si="2"/>
        <v>22</v>
      </c>
      <c r="C62" s="841" t="s">
        <v>219</v>
      </c>
      <c r="D62" s="592" t="s">
        <v>896</v>
      </c>
      <c r="E62" s="132">
        <v>1</v>
      </c>
      <c r="F62" s="505"/>
    </row>
    <row r="63" spans="1:6" x14ac:dyDescent="0.25">
      <c r="B63" s="173">
        <f t="shared" si="2"/>
        <v>23</v>
      </c>
      <c r="C63" s="841" t="s">
        <v>1319</v>
      </c>
      <c r="D63" s="592" t="s">
        <v>1049</v>
      </c>
      <c r="E63" s="135">
        <f>6%</f>
        <v>0.06</v>
      </c>
      <c r="F63" s="505"/>
    </row>
    <row r="64" spans="1:6" x14ac:dyDescent="0.25">
      <c r="B64" s="173">
        <f t="shared" si="2"/>
        <v>24</v>
      </c>
      <c r="C64" s="841" t="s">
        <v>7</v>
      </c>
      <c r="D64" s="738" t="s">
        <v>223</v>
      </c>
      <c r="E64" s="138">
        <f>1%</f>
        <v>0.01</v>
      </c>
      <c r="F64" s="505"/>
    </row>
    <row r="65" spans="2:6" x14ac:dyDescent="0.25">
      <c r="B65" s="173">
        <f t="shared" si="2"/>
        <v>25</v>
      </c>
      <c r="C65" s="841" t="s">
        <v>228</v>
      </c>
      <c r="D65" s="592" t="s">
        <v>1374</v>
      </c>
      <c r="E65" s="135">
        <f>2%</f>
        <v>0.02</v>
      </c>
      <c r="F65" s="505"/>
    </row>
    <row r="66" spans="2:6" x14ac:dyDescent="0.25">
      <c r="B66" s="173">
        <f t="shared" si="2"/>
        <v>26</v>
      </c>
      <c r="C66" s="841" t="s">
        <v>79</v>
      </c>
      <c r="D66" s="223" t="s">
        <v>495</v>
      </c>
      <c r="E66" s="132"/>
      <c r="F66" s="505"/>
    </row>
    <row r="67" spans="2:6" x14ac:dyDescent="0.25">
      <c r="B67" s="173">
        <f t="shared" si="2"/>
        <v>27</v>
      </c>
      <c r="C67" s="841" t="s">
        <v>889</v>
      </c>
      <c r="D67" s="223" t="s">
        <v>738</v>
      </c>
      <c r="E67" s="135">
        <f>6.2%</f>
        <v>6.2E-2</v>
      </c>
      <c r="F67" s="505"/>
    </row>
    <row r="68" spans="2:6" x14ac:dyDescent="0.25">
      <c r="B68" s="173">
        <f t="shared" si="2"/>
        <v>28</v>
      </c>
      <c r="C68" s="841" t="s">
        <v>778</v>
      </c>
      <c r="D68" s="223" t="s">
        <v>1335</v>
      </c>
      <c r="E68" s="132">
        <v>0</v>
      </c>
      <c r="F68" s="505"/>
    </row>
    <row r="69" spans="2:6" x14ac:dyDescent="0.25">
      <c r="B69" s="173">
        <f t="shared" si="2"/>
        <v>29</v>
      </c>
      <c r="C69" s="841" t="s">
        <v>181</v>
      </c>
      <c r="D69" s="223" t="s">
        <v>1253</v>
      </c>
      <c r="E69" s="132">
        <v>1</v>
      </c>
      <c r="F69" s="505"/>
    </row>
    <row r="70" spans="2:6" x14ac:dyDescent="0.25">
      <c r="B70" s="173">
        <f t="shared" si="2"/>
        <v>30</v>
      </c>
      <c r="C70" s="841" t="s">
        <v>623</v>
      </c>
      <c r="D70" s="223" t="s">
        <v>183</v>
      </c>
      <c r="E70" s="132">
        <v>1</v>
      </c>
      <c r="F70" s="505"/>
    </row>
    <row r="71" spans="2:6" x14ac:dyDescent="0.25">
      <c r="B71" s="173">
        <f t="shared" si="2"/>
        <v>31</v>
      </c>
      <c r="C71" s="841" t="s">
        <v>437</v>
      </c>
      <c r="D71" s="223" t="s">
        <v>1322</v>
      </c>
      <c r="E71" s="132">
        <v>1</v>
      </c>
      <c r="F71" s="505"/>
    </row>
    <row r="72" spans="2:6" x14ac:dyDescent="0.25">
      <c r="B72" s="173">
        <f t="shared" si="2"/>
        <v>32</v>
      </c>
      <c r="C72" s="841" t="s">
        <v>533</v>
      </c>
      <c r="D72" s="223" t="s">
        <v>869</v>
      </c>
      <c r="E72" s="132">
        <v>1</v>
      </c>
      <c r="F72" s="505"/>
    </row>
    <row r="73" spans="2:6" x14ac:dyDescent="0.25">
      <c r="B73" s="173">
        <f t="shared" si="2"/>
        <v>33</v>
      </c>
      <c r="C73" s="841" t="s">
        <v>1122</v>
      </c>
      <c r="D73" s="223" t="s">
        <v>1389</v>
      </c>
      <c r="E73" s="132">
        <v>1</v>
      </c>
      <c r="F73" s="505"/>
    </row>
    <row r="74" spans="2:6" x14ac:dyDescent="0.25">
      <c r="B74" s="173">
        <f t="shared" si="2"/>
        <v>34</v>
      </c>
      <c r="C74" s="841" t="s">
        <v>1034</v>
      </c>
      <c r="D74" s="223" t="s">
        <v>586</v>
      </c>
      <c r="E74" s="132">
        <v>1</v>
      </c>
      <c r="F74" s="505"/>
    </row>
    <row r="75" spans="2:6" x14ac:dyDescent="0.25">
      <c r="B75" s="173">
        <f t="shared" si="2"/>
        <v>35</v>
      </c>
      <c r="C75" s="841"/>
      <c r="D75" s="223"/>
      <c r="E75" s="132"/>
      <c r="F75" s="505"/>
    </row>
    <row r="76" spans="2:6" x14ac:dyDescent="0.25">
      <c r="B76" s="173">
        <f t="shared" si="2"/>
        <v>36</v>
      </c>
      <c r="C76" s="841"/>
      <c r="D76" s="611"/>
      <c r="E76" s="173"/>
      <c r="F76" s="505"/>
    </row>
    <row r="77" spans="2:6" x14ac:dyDescent="0.25">
      <c r="B77" s="173">
        <f t="shared" si="2"/>
        <v>37</v>
      </c>
      <c r="C77" s="841"/>
      <c r="D77" s="611"/>
      <c r="E77" s="173"/>
      <c r="F77" s="505"/>
    </row>
    <row r="78" spans="2:6" x14ac:dyDescent="0.25">
      <c r="B78" s="173">
        <f t="shared" si="2"/>
        <v>38</v>
      </c>
      <c r="C78" s="841"/>
      <c r="D78" s="611"/>
      <c r="E78" s="173"/>
      <c r="F78" s="505"/>
    </row>
    <row r="79" spans="2:6" x14ac:dyDescent="0.25">
      <c r="B79" s="173">
        <f t="shared" si="2"/>
        <v>39</v>
      </c>
      <c r="C79" s="841"/>
      <c r="D79" s="611"/>
      <c r="E79" s="173"/>
      <c r="F79" s="505"/>
    </row>
    <row r="80" spans="2:6" x14ac:dyDescent="0.25">
      <c r="B80" s="173">
        <f t="shared" si="2"/>
        <v>40</v>
      </c>
      <c r="C80" s="841"/>
      <c r="D80" s="611"/>
      <c r="E80" s="173"/>
      <c r="F80" s="505"/>
    </row>
    <row r="81" spans="2:6" x14ac:dyDescent="0.25">
      <c r="B81" s="173">
        <f t="shared" si="2"/>
        <v>41</v>
      </c>
      <c r="C81" s="841"/>
      <c r="D81" s="611"/>
      <c r="E81" s="173"/>
      <c r="F81" s="505"/>
    </row>
    <row r="82" spans="2:6" x14ac:dyDescent="0.25">
      <c r="B82" s="173">
        <f t="shared" si="2"/>
        <v>42</v>
      </c>
      <c r="C82" s="841"/>
      <c r="D82" s="611"/>
      <c r="E82" s="173"/>
      <c r="F82" s="505"/>
    </row>
    <row r="83" spans="2:6" x14ac:dyDescent="0.25">
      <c r="B83" s="173">
        <f t="shared" si="2"/>
        <v>43</v>
      </c>
      <c r="C83" s="841"/>
      <c r="D83" s="147"/>
      <c r="E83" s="173"/>
      <c r="F83" s="505"/>
    </row>
    <row r="84" spans="2:6" x14ac:dyDescent="0.25">
      <c r="B84" s="173">
        <f t="shared" si="2"/>
        <v>44</v>
      </c>
      <c r="C84" s="841"/>
      <c r="D84" s="147"/>
      <c r="E84" s="173"/>
      <c r="F84" s="505"/>
    </row>
    <row r="85" spans="2:6" x14ac:dyDescent="0.25">
      <c r="B85" s="173">
        <f t="shared" si="2"/>
        <v>45</v>
      </c>
      <c r="C85" s="841"/>
      <c r="D85" s="147"/>
      <c r="E85" s="173"/>
      <c r="F85" s="505"/>
    </row>
    <row r="86" spans="2:6" x14ac:dyDescent="0.25">
      <c r="B86" s="173">
        <f t="shared" si="2"/>
        <v>46</v>
      </c>
      <c r="C86" s="841"/>
      <c r="D86" s="147"/>
      <c r="E86" s="147"/>
      <c r="F86" s="505"/>
    </row>
    <row r="87" spans="2:6" x14ac:dyDescent="0.25">
      <c r="B87" s="173">
        <f t="shared" si="2"/>
        <v>47</v>
      </c>
      <c r="C87" s="841"/>
      <c r="D87" s="147"/>
      <c r="E87" s="147"/>
      <c r="F87" s="505"/>
    </row>
    <row r="88" spans="2:6" x14ac:dyDescent="0.25">
      <c r="B88" s="173">
        <f t="shared" si="2"/>
        <v>48</v>
      </c>
      <c r="C88" s="841"/>
      <c r="D88" s="147"/>
      <c r="E88" s="147"/>
      <c r="F88" s="505"/>
    </row>
    <row r="89" spans="2:6" x14ac:dyDescent="0.25">
      <c r="B89" s="173">
        <f t="shared" si="2"/>
        <v>49</v>
      </c>
      <c r="C89" s="841"/>
      <c r="D89" s="147"/>
      <c r="E89" s="147"/>
      <c r="F89" s="505"/>
    </row>
    <row r="90" spans="2:6" x14ac:dyDescent="0.25">
      <c r="B90" s="173">
        <f t="shared" si="2"/>
        <v>50</v>
      </c>
      <c r="C90" s="841"/>
      <c r="D90" s="147"/>
      <c r="E90" s="147"/>
      <c r="F90" s="505"/>
    </row>
    <row r="91" spans="2:6" x14ac:dyDescent="0.25">
      <c r="B91" s="173">
        <f t="shared" si="2"/>
        <v>51</v>
      </c>
      <c r="C91" s="841"/>
      <c r="D91" s="147"/>
      <c r="E91" s="147"/>
      <c r="F91" s="505"/>
    </row>
    <row r="92" spans="2:6" x14ac:dyDescent="0.25">
      <c r="B92" s="173">
        <f t="shared" si="2"/>
        <v>52</v>
      </c>
      <c r="C92" s="841"/>
      <c r="D92" s="147"/>
      <c r="E92" s="147"/>
      <c r="F92" s="505"/>
    </row>
    <row r="93" spans="2:6" x14ac:dyDescent="0.25">
      <c r="B93" s="173">
        <f t="shared" si="2"/>
        <v>53</v>
      </c>
      <c r="C93" s="841"/>
      <c r="D93" s="147"/>
      <c r="E93" s="147"/>
      <c r="F93" s="505"/>
    </row>
    <row r="94" spans="2:6" x14ac:dyDescent="0.25">
      <c r="B94" s="721">
        <f t="shared" si="2"/>
        <v>54</v>
      </c>
      <c r="C94" s="860"/>
      <c r="D94" s="703"/>
      <c r="E94" s="703"/>
      <c r="F94" s="505"/>
    </row>
  </sheetData>
  <mergeCells count="3">
    <mergeCell ref="B1:D1"/>
    <mergeCell ref="B3:F3"/>
    <mergeCell ref="B31:F31"/>
  </mergeCells>
  <pageMargins left="1.18" right="0.59" top="0.79" bottom="0.79"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indexed="63"/>
  </sheetPr>
  <dimension ref="A1"/>
  <sheetViews>
    <sheetView showZeros="0" workbookViewId="0">
      <selection sqref="A1:D1"/>
    </sheetView>
  </sheetViews>
  <sheetFormatPr defaultColWidth="9.42578125" defaultRowHeight="15" x14ac:dyDescent="0.25"/>
  <sheetData/>
  <pageMargins left="1.18" right="0.59" top="0.79" bottom="0.79"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A21"/>
  <sheetViews>
    <sheetView workbookViewId="0">
      <selection sqref="A1:T1"/>
    </sheetView>
  </sheetViews>
  <sheetFormatPr defaultRowHeight="15" x14ac:dyDescent="0.25"/>
  <cols>
    <col min="1" max="1" width="3.7109375" bestFit="1" customWidth="1"/>
    <col min="2" max="2" width="50.7109375" customWidth="1"/>
    <col min="3" max="3" width="8.7109375" bestFit="1" customWidth="1"/>
    <col min="4" max="4" width="6.7109375" bestFit="1" customWidth="1"/>
  </cols>
  <sheetData>
    <row r="1" spans="1:27" ht="18.75" x14ac:dyDescent="0.3">
      <c r="A1" s="1247" t="s">
        <v>31</v>
      </c>
      <c r="B1" s="1247" t="s">
        <v>31</v>
      </c>
      <c r="C1" s="1247" t="s">
        <v>31</v>
      </c>
      <c r="D1" s="1247" t="s">
        <v>31</v>
      </c>
    </row>
    <row r="2" spans="1:27" x14ac:dyDescent="0.25">
      <c r="A2" s="634" t="s">
        <v>172</v>
      </c>
      <c r="B2" s="634" t="s">
        <v>332</v>
      </c>
      <c r="C2" s="634" t="s">
        <v>941</v>
      </c>
      <c r="D2" s="634" t="s">
        <v>823</v>
      </c>
    </row>
    <row r="3" spans="1:27" x14ac:dyDescent="0.25">
      <c r="A3" s="483">
        <v>1</v>
      </c>
      <c r="B3" s="25" t="s">
        <v>1322</v>
      </c>
      <c r="C3" s="503" t="s">
        <v>437</v>
      </c>
      <c r="D3" s="503">
        <f t="shared" ref="D3:D4" si="0">1</f>
        <v>1</v>
      </c>
    </row>
    <row r="4" spans="1:27" x14ac:dyDescent="0.25">
      <c r="A4" s="483">
        <v>2</v>
      </c>
      <c r="B4" s="301" t="s">
        <v>586</v>
      </c>
      <c r="C4" s="772" t="s">
        <v>1034</v>
      </c>
      <c r="D4" s="772">
        <f t="shared" si="0"/>
        <v>1</v>
      </c>
      <c r="E4" s="600"/>
      <c r="F4" s="600"/>
      <c r="G4" s="600"/>
      <c r="H4" s="600"/>
      <c r="I4" s="600"/>
      <c r="J4" s="600"/>
      <c r="K4" s="600"/>
      <c r="L4" s="600"/>
      <c r="M4" s="600"/>
      <c r="N4" s="600"/>
      <c r="O4" s="600"/>
      <c r="P4" s="600"/>
      <c r="Q4" s="600"/>
      <c r="R4" s="600"/>
      <c r="S4" s="600"/>
      <c r="T4" s="600"/>
      <c r="U4" s="600"/>
      <c r="V4" s="600"/>
      <c r="W4" s="600"/>
      <c r="X4" s="600"/>
      <c r="Y4" s="600"/>
      <c r="Z4" s="600"/>
      <c r="AA4" s="600"/>
    </row>
    <row r="5" spans="1:27" x14ac:dyDescent="0.25">
      <c r="A5" s="483">
        <v>3</v>
      </c>
      <c r="B5" s="301" t="s">
        <v>738</v>
      </c>
      <c r="C5" s="772" t="s">
        <v>889</v>
      </c>
      <c r="D5" s="772">
        <f>6.2%</f>
        <v>6.2E-2</v>
      </c>
      <c r="E5" s="600"/>
      <c r="F5" s="600"/>
      <c r="G5" s="600"/>
      <c r="H5" s="600"/>
      <c r="I5" s="600"/>
      <c r="J5" s="600"/>
      <c r="K5" s="600"/>
      <c r="L5" s="600"/>
      <c r="M5" s="600"/>
      <c r="N5" s="600"/>
      <c r="O5" s="600"/>
      <c r="P5" s="600"/>
      <c r="Q5" s="600"/>
      <c r="R5" s="600"/>
      <c r="S5" s="600"/>
      <c r="T5" s="600"/>
      <c r="U5" s="600"/>
      <c r="V5" s="600"/>
      <c r="W5" s="600"/>
      <c r="X5" s="600"/>
      <c r="Y5" s="600"/>
      <c r="Z5" s="600"/>
      <c r="AA5" s="600"/>
    </row>
    <row r="6" spans="1:27" x14ac:dyDescent="0.25">
      <c r="A6" s="483">
        <v>4</v>
      </c>
      <c r="B6" s="301" t="s">
        <v>223</v>
      </c>
      <c r="C6" s="772" t="s">
        <v>7</v>
      </c>
      <c r="D6" s="772">
        <f>1%</f>
        <v>0.01</v>
      </c>
      <c r="E6" s="600"/>
      <c r="F6" s="600"/>
      <c r="G6" s="600"/>
      <c r="H6" s="600"/>
      <c r="I6" s="600"/>
      <c r="J6" s="600"/>
      <c r="K6" s="600"/>
      <c r="L6" s="600"/>
      <c r="M6" s="600"/>
      <c r="N6" s="600"/>
      <c r="O6" s="600"/>
      <c r="P6" s="600"/>
      <c r="Q6" s="600"/>
      <c r="R6" s="600"/>
      <c r="S6" s="600"/>
      <c r="T6" s="600"/>
      <c r="U6" s="600"/>
      <c r="V6" s="600"/>
      <c r="W6" s="600"/>
      <c r="X6" s="600"/>
      <c r="Y6" s="600"/>
      <c r="Z6" s="600"/>
      <c r="AA6" s="600"/>
    </row>
    <row r="7" spans="1:27" x14ac:dyDescent="0.25">
      <c r="A7" s="483">
        <v>5</v>
      </c>
      <c r="B7" s="301" t="s">
        <v>645</v>
      </c>
      <c r="C7" s="772" t="s">
        <v>722</v>
      </c>
      <c r="D7" s="772">
        <f>10%</f>
        <v>0.1</v>
      </c>
      <c r="E7" s="600"/>
      <c r="F7" s="600"/>
      <c r="G7" s="600"/>
      <c r="H7" s="600"/>
      <c r="I7" s="600"/>
      <c r="J7" s="600"/>
      <c r="K7" s="600"/>
      <c r="L7" s="600"/>
      <c r="M7" s="600"/>
      <c r="N7" s="600"/>
      <c r="O7" s="600"/>
      <c r="P7" s="600"/>
      <c r="Q7" s="600"/>
      <c r="R7" s="600"/>
      <c r="S7" s="600"/>
      <c r="T7" s="600"/>
      <c r="U7" s="600"/>
      <c r="V7" s="600"/>
      <c r="W7" s="600"/>
      <c r="X7" s="600"/>
      <c r="Y7" s="600"/>
      <c r="Z7" s="600"/>
      <c r="AA7" s="600"/>
    </row>
    <row r="8" spans="1:27" ht="30" x14ac:dyDescent="0.25">
      <c r="A8" s="483">
        <v>6</v>
      </c>
      <c r="B8" s="301" t="s">
        <v>1374</v>
      </c>
      <c r="C8" s="772" t="s">
        <v>228</v>
      </c>
      <c r="D8" s="772">
        <f>2%</f>
        <v>0.02</v>
      </c>
      <c r="E8" s="600"/>
      <c r="F8" s="600"/>
      <c r="G8" s="600"/>
      <c r="H8" s="600"/>
      <c r="I8" s="600"/>
      <c r="J8" s="600"/>
      <c r="K8" s="600"/>
      <c r="L8" s="600"/>
      <c r="M8" s="600"/>
      <c r="N8" s="600"/>
      <c r="O8" s="600"/>
      <c r="P8" s="600"/>
      <c r="Q8" s="600"/>
      <c r="R8" s="600"/>
      <c r="S8" s="600"/>
      <c r="T8" s="600"/>
      <c r="U8" s="600"/>
      <c r="V8" s="600"/>
      <c r="W8" s="600"/>
      <c r="X8" s="600"/>
      <c r="Y8" s="600"/>
      <c r="Z8" s="600"/>
      <c r="AA8" s="600"/>
    </row>
    <row r="9" spans="1:27" x14ac:dyDescent="0.25">
      <c r="A9" s="483">
        <v>7</v>
      </c>
      <c r="B9" s="301" t="s">
        <v>183</v>
      </c>
      <c r="C9" s="772" t="s">
        <v>623</v>
      </c>
      <c r="D9" s="772">
        <f t="shared" ref="D9:D10" si="1">1</f>
        <v>1</v>
      </c>
      <c r="E9" s="600"/>
      <c r="F9" s="600"/>
      <c r="G9" s="600"/>
      <c r="H9" s="600"/>
      <c r="I9" s="600"/>
      <c r="J9" s="600"/>
      <c r="K9" s="600"/>
      <c r="L9" s="600"/>
      <c r="M9" s="600"/>
      <c r="N9" s="600"/>
      <c r="O9" s="600"/>
      <c r="P9" s="600"/>
      <c r="Q9" s="600"/>
      <c r="R9" s="600"/>
      <c r="S9" s="600"/>
      <c r="T9" s="600"/>
      <c r="U9" s="600"/>
      <c r="V9" s="600"/>
      <c r="W9" s="600"/>
      <c r="X9" s="600"/>
      <c r="Y9" s="600"/>
      <c r="Z9" s="600"/>
      <c r="AA9" s="600"/>
    </row>
    <row r="10" spans="1:27" x14ac:dyDescent="0.25">
      <c r="A10" s="483">
        <v>8</v>
      </c>
      <c r="B10" s="301" t="s">
        <v>1389</v>
      </c>
      <c r="C10" s="772" t="s">
        <v>1122</v>
      </c>
      <c r="D10" s="772">
        <f t="shared" si="1"/>
        <v>1</v>
      </c>
      <c r="E10" s="600"/>
      <c r="F10" s="600"/>
      <c r="G10" s="600"/>
      <c r="H10" s="600"/>
      <c r="I10" s="600"/>
      <c r="J10" s="600"/>
      <c r="K10" s="600"/>
      <c r="L10" s="600"/>
      <c r="M10" s="600"/>
      <c r="N10" s="600"/>
      <c r="O10" s="600"/>
      <c r="P10" s="600"/>
      <c r="Q10" s="600"/>
      <c r="R10" s="600"/>
      <c r="S10" s="600"/>
      <c r="T10" s="600"/>
      <c r="U10" s="600"/>
      <c r="V10" s="600"/>
      <c r="W10" s="600"/>
      <c r="X10" s="600"/>
      <c r="Y10" s="600"/>
      <c r="Z10" s="600"/>
      <c r="AA10" s="600"/>
    </row>
    <row r="11" spans="1:27" x14ac:dyDescent="0.25">
      <c r="A11" s="483">
        <v>9</v>
      </c>
      <c r="B11" s="301" t="s">
        <v>1270</v>
      </c>
      <c r="C11" s="772" t="s">
        <v>507</v>
      </c>
      <c r="D11" s="772">
        <f>1.1%</f>
        <v>1.1000000000000001E-2</v>
      </c>
      <c r="E11" s="600"/>
      <c r="F11" s="600"/>
      <c r="G11" s="600"/>
      <c r="H11" s="600"/>
      <c r="I11" s="600"/>
      <c r="J11" s="600"/>
      <c r="K11" s="600"/>
      <c r="L11" s="600"/>
      <c r="M11" s="600"/>
      <c r="N11" s="600"/>
      <c r="O11" s="600"/>
      <c r="P11" s="600"/>
      <c r="Q11" s="600"/>
      <c r="R11" s="600"/>
      <c r="S11" s="600"/>
      <c r="T11" s="600"/>
      <c r="U11" s="600"/>
      <c r="V11" s="600"/>
      <c r="W11" s="600"/>
      <c r="X11" s="600"/>
      <c r="Y11" s="600"/>
      <c r="Z11" s="600"/>
      <c r="AA11" s="600"/>
    </row>
    <row r="12" spans="1:27" x14ac:dyDescent="0.25">
      <c r="A12" s="483">
        <v>10</v>
      </c>
      <c r="B12" s="301" t="s">
        <v>896</v>
      </c>
      <c r="C12" s="772" t="s">
        <v>219</v>
      </c>
      <c r="D12" s="772">
        <f t="shared" ref="D12:D14" si="2">1</f>
        <v>1</v>
      </c>
      <c r="E12" s="600"/>
      <c r="F12" s="600"/>
      <c r="G12" s="600"/>
      <c r="H12" s="600"/>
      <c r="I12" s="600"/>
      <c r="J12" s="600"/>
      <c r="K12" s="600"/>
      <c r="L12" s="600"/>
      <c r="M12" s="600"/>
      <c r="N12" s="600"/>
      <c r="O12" s="600"/>
      <c r="P12" s="600"/>
      <c r="Q12" s="600"/>
      <c r="R12" s="600"/>
      <c r="S12" s="600"/>
      <c r="T12" s="600"/>
      <c r="U12" s="600"/>
      <c r="V12" s="600"/>
      <c r="W12" s="600"/>
      <c r="X12" s="600"/>
      <c r="Y12" s="600"/>
      <c r="Z12" s="600"/>
      <c r="AA12" s="600"/>
    </row>
    <row r="13" spans="1:27" x14ac:dyDescent="0.25">
      <c r="A13" s="483">
        <v>11</v>
      </c>
      <c r="B13" s="301" t="s">
        <v>1253</v>
      </c>
      <c r="C13" s="772" t="s">
        <v>181</v>
      </c>
      <c r="D13" s="772">
        <f t="shared" si="2"/>
        <v>1</v>
      </c>
      <c r="E13" s="600"/>
      <c r="F13" s="600"/>
      <c r="G13" s="600"/>
      <c r="H13" s="600"/>
      <c r="I13" s="600"/>
      <c r="J13" s="600"/>
      <c r="K13" s="600"/>
      <c r="L13" s="600"/>
      <c r="M13" s="600"/>
      <c r="N13" s="600"/>
      <c r="O13" s="600"/>
      <c r="P13" s="600"/>
      <c r="Q13" s="600"/>
      <c r="R13" s="600"/>
      <c r="S13" s="600"/>
      <c r="T13" s="600"/>
      <c r="U13" s="600"/>
      <c r="V13" s="600"/>
      <c r="W13" s="600"/>
      <c r="X13" s="600"/>
      <c r="Y13" s="600"/>
      <c r="Z13" s="600"/>
      <c r="AA13" s="600"/>
    </row>
    <row r="14" spans="1:27" x14ac:dyDescent="0.25">
      <c r="A14" s="483">
        <v>12</v>
      </c>
      <c r="B14" s="301" t="s">
        <v>869</v>
      </c>
      <c r="C14" s="772" t="s">
        <v>533</v>
      </c>
      <c r="D14" s="772">
        <f t="shared" si="2"/>
        <v>1</v>
      </c>
      <c r="E14" s="600"/>
      <c r="F14" s="600"/>
      <c r="G14" s="600"/>
      <c r="H14" s="600"/>
      <c r="I14" s="600"/>
      <c r="J14" s="600"/>
      <c r="K14" s="600"/>
      <c r="L14" s="600"/>
      <c r="M14" s="600"/>
      <c r="N14" s="600"/>
      <c r="O14" s="600"/>
      <c r="P14" s="600"/>
      <c r="Q14" s="600"/>
      <c r="R14" s="600"/>
      <c r="S14" s="600"/>
      <c r="T14" s="600"/>
      <c r="U14" s="600"/>
      <c r="V14" s="600"/>
      <c r="W14" s="600"/>
      <c r="X14" s="600"/>
      <c r="Y14" s="600"/>
      <c r="Z14" s="600"/>
      <c r="AA14" s="600"/>
    </row>
    <row r="15" spans="1:27" x14ac:dyDescent="0.25">
      <c r="A15" s="483">
        <v>13</v>
      </c>
      <c r="B15" s="301" t="s">
        <v>1049</v>
      </c>
      <c r="C15" s="772" t="s">
        <v>1319</v>
      </c>
      <c r="D15" s="772">
        <f>6%</f>
        <v>0.06</v>
      </c>
      <c r="E15" s="600"/>
      <c r="F15" s="600"/>
      <c r="G15" s="600"/>
      <c r="H15" s="600"/>
      <c r="I15" s="600"/>
      <c r="J15" s="600"/>
      <c r="K15" s="600"/>
      <c r="L15" s="600"/>
      <c r="M15" s="600"/>
      <c r="N15" s="600"/>
      <c r="O15" s="600"/>
      <c r="P15" s="600"/>
      <c r="Q15" s="600"/>
      <c r="R15" s="600"/>
      <c r="S15" s="600"/>
      <c r="T15" s="600"/>
      <c r="U15" s="600"/>
      <c r="V15" s="600"/>
      <c r="W15" s="600"/>
      <c r="X15" s="600"/>
      <c r="Y15" s="600"/>
      <c r="Z15" s="600"/>
      <c r="AA15" s="600"/>
    </row>
    <row r="16" spans="1:27" x14ac:dyDescent="0.25">
      <c r="A16" s="483">
        <v>14</v>
      </c>
      <c r="B16" s="301" t="s">
        <v>495</v>
      </c>
      <c r="C16" s="772" t="s">
        <v>79</v>
      </c>
      <c r="D16" s="772"/>
      <c r="E16" s="600"/>
      <c r="F16" s="600"/>
      <c r="G16" s="600"/>
      <c r="H16" s="600"/>
      <c r="I16" s="600"/>
      <c r="J16" s="600"/>
      <c r="K16" s="600"/>
      <c r="L16" s="600"/>
      <c r="M16" s="600"/>
      <c r="N16" s="600"/>
      <c r="O16" s="600"/>
      <c r="P16" s="600"/>
      <c r="Q16" s="600"/>
      <c r="R16" s="600"/>
      <c r="S16" s="600"/>
      <c r="T16" s="600"/>
      <c r="U16" s="600"/>
      <c r="V16" s="600"/>
      <c r="W16" s="600"/>
      <c r="X16" s="600"/>
      <c r="Y16" s="600"/>
      <c r="Z16" s="600"/>
      <c r="AA16" s="600"/>
    </row>
    <row r="17" spans="1:27" x14ac:dyDescent="0.25">
      <c r="A17" s="483">
        <v>15</v>
      </c>
      <c r="B17" s="301" t="s">
        <v>1042</v>
      </c>
      <c r="C17" s="772" t="s">
        <v>107</v>
      </c>
      <c r="D17" s="772">
        <f>8%</f>
        <v>0.08</v>
      </c>
      <c r="E17" s="600"/>
      <c r="F17" s="600"/>
      <c r="G17" s="600"/>
      <c r="H17" s="600"/>
      <c r="I17" s="600"/>
      <c r="J17" s="600"/>
      <c r="K17" s="600"/>
      <c r="L17" s="600"/>
      <c r="M17" s="600"/>
      <c r="N17" s="600"/>
      <c r="O17" s="600"/>
      <c r="P17" s="600"/>
      <c r="Q17" s="600"/>
      <c r="R17" s="600"/>
      <c r="S17" s="600"/>
      <c r="T17" s="600"/>
      <c r="U17" s="600"/>
      <c r="V17" s="600"/>
      <c r="W17" s="600"/>
      <c r="X17" s="600"/>
      <c r="Y17" s="600"/>
      <c r="Z17" s="600"/>
      <c r="AA17" s="600"/>
    </row>
    <row r="18" spans="1:27" x14ac:dyDescent="0.25">
      <c r="A18" s="483">
        <v>16</v>
      </c>
      <c r="B18" s="301" t="s">
        <v>1335</v>
      </c>
      <c r="C18" s="772" t="s">
        <v>778</v>
      </c>
      <c r="D18" s="772">
        <f>0</f>
        <v>0</v>
      </c>
      <c r="E18" s="600"/>
      <c r="F18" s="600"/>
      <c r="G18" s="600"/>
      <c r="H18" s="600"/>
      <c r="I18" s="600"/>
      <c r="J18" s="600"/>
      <c r="K18" s="600"/>
      <c r="L18" s="600"/>
      <c r="M18" s="600"/>
      <c r="N18" s="600"/>
      <c r="O18" s="600"/>
      <c r="P18" s="600"/>
      <c r="Q18" s="600"/>
      <c r="R18" s="600"/>
      <c r="S18" s="600"/>
      <c r="T18" s="600"/>
      <c r="U18" s="600"/>
      <c r="V18" s="600"/>
      <c r="W18" s="600"/>
      <c r="X18" s="600"/>
      <c r="Y18" s="600"/>
      <c r="Z18" s="600"/>
      <c r="AA18" s="600"/>
    </row>
    <row r="19" spans="1:27" x14ac:dyDescent="0.25">
      <c r="B19" s="600"/>
      <c r="C19" s="600"/>
      <c r="D19" s="600"/>
      <c r="E19" s="600"/>
      <c r="F19" s="600"/>
      <c r="G19" s="600"/>
      <c r="H19" s="600"/>
      <c r="I19" s="600"/>
      <c r="J19" s="600"/>
      <c r="K19" s="600"/>
      <c r="L19" s="600"/>
      <c r="M19" s="600"/>
      <c r="N19" s="600"/>
      <c r="O19" s="600"/>
      <c r="P19" s="600"/>
      <c r="Q19" s="600"/>
      <c r="R19" s="600"/>
      <c r="S19" s="600"/>
      <c r="T19" s="600"/>
      <c r="U19" s="600"/>
      <c r="V19" s="600"/>
      <c r="W19" s="600"/>
      <c r="X19" s="600"/>
      <c r="Y19" s="600"/>
      <c r="Z19" s="600"/>
      <c r="AA19" s="600"/>
    </row>
    <row r="20" spans="1:27" x14ac:dyDescent="0.25">
      <c r="B20" s="600"/>
      <c r="C20" s="600"/>
      <c r="D20" s="600"/>
      <c r="E20" s="600"/>
      <c r="F20" s="600"/>
      <c r="G20" s="600"/>
      <c r="H20" s="600"/>
      <c r="I20" s="600"/>
      <c r="J20" s="600"/>
      <c r="K20" s="600"/>
      <c r="L20" s="600"/>
      <c r="M20" s="600"/>
      <c r="N20" s="600"/>
      <c r="O20" s="600"/>
      <c r="P20" s="600"/>
      <c r="Q20" s="600"/>
      <c r="R20" s="600"/>
      <c r="S20" s="600"/>
      <c r="T20" s="600"/>
      <c r="U20" s="600"/>
      <c r="V20" s="600"/>
      <c r="W20" s="600"/>
      <c r="X20" s="600"/>
      <c r="Y20" s="600"/>
      <c r="Z20" s="600"/>
      <c r="AA20" s="600"/>
    </row>
    <row r="21" spans="1:27" x14ac:dyDescent="0.25">
      <c r="B21" s="600"/>
      <c r="C21" s="600"/>
      <c r="D21" s="600"/>
      <c r="E21" s="600"/>
      <c r="F21" s="600"/>
      <c r="G21" s="600"/>
      <c r="H21" s="600"/>
      <c r="I21" s="600"/>
      <c r="J21" s="600"/>
      <c r="K21" s="600"/>
      <c r="L21" s="600"/>
      <c r="M21" s="600"/>
      <c r="N21" s="600"/>
      <c r="O21" s="600"/>
      <c r="P21" s="600"/>
      <c r="Q21" s="600"/>
      <c r="R21" s="600"/>
      <c r="S21" s="600"/>
      <c r="T21" s="600"/>
      <c r="U21" s="600"/>
      <c r="V21" s="600"/>
      <c r="W21" s="600"/>
      <c r="X21" s="600"/>
      <c r="Y21" s="600"/>
      <c r="Z21" s="600"/>
      <c r="AA21" s="600"/>
    </row>
  </sheetData>
  <mergeCells count="1">
    <mergeCell ref="A1:D1"/>
  </mergeCells>
  <pageMargins left="0.75" right="0.75" top="0.75" bottom="0.75" header="0.3" footer="0.3"/>
  <pageSetup paperSize="9" orientation="landscape" useFirstPageNumber="1"/>
  <headerFooter>
    <oddFooter>&amp;CTrang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A133"/>
  <sheetViews>
    <sheetView showZeros="0" topLeftCell="B1" workbookViewId="0">
      <selection sqref="A1:T1"/>
    </sheetView>
  </sheetViews>
  <sheetFormatPr defaultRowHeight="15" x14ac:dyDescent="0.25"/>
  <cols>
    <col min="1" max="1" width="8.85546875" hidden="1" customWidth="1"/>
    <col min="2" max="2" width="3.85546875" bestFit="1" customWidth="1"/>
    <col min="3" max="3" width="8.85546875" style="227" hidden="1" customWidth="1"/>
    <col min="4" max="4" width="12.7109375" style="227" customWidth="1"/>
    <col min="5" max="5" width="102.85546875" bestFit="1" customWidth="1"/>
    <col min="6" max="10" width="12.7109375" customWidth="1"/>
  </cols>
  <sheetData>
    <row r="1" spans="1:27" ht="18.75" x14ac:dyDescent="0.3">
      <c r="A1" s="1101" t="s">
        <v>100</v>
      </c>
      <c r="B1" s="1101"/>
      <c r="C1" s="1101"/>
      <c r="D1" s="1101"/>
      <c r="E1" s="1101"/>
      <c r="F1" s="1101"/>
      <c r="G1" s="1101"/>
      <c r="H1" s="1101"/>
      <c r="I1" s="1101"/>
      <c r="J1" s="1101"/>
    </row>
    <row r="2" spans="1:27" x14ac:dyDescent="0.25">
      <c r="A2" s="1121" t="s">
        <v>197</v>
      </c>
      <c r="B2" s="1121"/>
      <c r="C2" s="1121"/>
      <c r="D2" s="1121"/>
      <c r="E2" s="1121"/>
      <c r="F2" s="1121"/>
      <c r="G2" s="1121"/>
      <c r="H2" s="1121"/>
      <c r="I2" s="1121"/>
      <c r="J2" s="1121"/>
    </row>
    <row r="3" spans="1:27" x14ac:dyDescent="0.25">
      <c r="A3" s="1121" t="s">
        <v>1409</v>
      </c>
      <c r="B3" s="1121"/>
      <c r="C3" s="1121"/>
      <c r="D3" s="1121"/>
      <c r="E3" s="1121"/>
      <c r="F3" s="1121"/>
      <c r="G3" s="1121"/>
      <c r="H3" s="1121"/>
      <c r="I3" s="1121"/>
      <c r="J3" s="1121"/>
    </row>
    <row r="4" spans="1:27" x14ac:dyDescent="0.25">
      <c r="A4" s="1248" t="s">
        <v>306</v>
      </c>
      <c r="B4" s="1249"/>
      <c r="C4" s="1249"/>
      <c r="D4" s="1249"/>
      <c r="E4" s="1249"/>
      <c r="F4" s="1249"/>
      <c r="G4" s="1249"/>
      <c r="H4" s="1249"/>
      <c r="I4" s="1249"/>
      <c r="J4" s="1249"/>
      <c r="K4" s="600"/>
      <c r="L4" s="600"/>
      <c r="M4" s="600"/>
      <c r="N4" s="600"/>
      <c r="O4" s="600"/>
      <c r="P4" s="600"/>
      <c r="Q4" s="600"/>
      <c r="R4" s="600"/>
      <c r="S4" s="600"/>
      <c r="T4" s="600"/>
      <c r="U4" s="600"/>
      <c r="V4" s="600"/>
      <c r="W4" s="600"/>
      <c r="X4" s="600"/>
      <c r="Y4" s="600"/>
      <c r="Z4" s="600"/>
      <c r="AA4" s="600"/>
    </row>
    <row r="5" spans="1:27" ht="28.5" x14ac:dyDescent="0.25">
      <c r="A5" s="910"/>
      <c r="B5" s="891" t="s">
        <v>1323</v>
      </c>
      <c r="C5" s="360" t="s">
        <v>1152</v>
      </c>
      <c r="D5" s="360" t="s">
        <v>958</v>
      </c>
      <c r="E5" s="891" t="s">
        <v>806</v>
      </c>
      <c r="F5" s="891" t="s">
        <v>1448</v>
      </c>
      <c r="G5" s="891" t="s">
        <v>1079</v>
      </c>
      <c r="H5" s="891" t="s">
        <v>979</v>
      </c>
      <c r="I5" s="891" t="s">
        <v>860</v>
      </c>
      <c r="J5" s="891" t="s">
        <v>898</v>
      </c>
      <c r="K5" s="600"/>
      <c r="L5" s="600"/>
      <c r="M5" s="600"/>
      <c r="N5" s="600"/>
      <c r="O5" s="600"/>
      <c r="P5" s="600"/>
      <c r="Q5" s="600"/>
      <c r="R5" s="600"/>
      <c r="S5" s="600"/>
      <c r="T5" s="600"/>
      <c r="U5" s="600"/>
      <c r="V5" s="600"/>
      <c r="W5" s="600"/>
      <c r="X5" s="600"/>
      <c r="Y5" s="600"/>
      <c r="Z5" s="600"/>
      <c r="AA5" s="600"/>
    </row>
    <row r="6" spans="1:27" x14ac:dyDescent="0.25">
      <c r="A6" s="477"/>
      <c r="B6" s="250">
        <v>1</v>
      </c>
      <c r="C6" s="190" t="str">
        <f>'Tiên lượng'!C8</f>
        <v>SA.12112</v>
      </c>
      <c r="D6" s="190" t="str">
        <f>'Tiên lượng'!C8</f>
        <v>SA.12112</v>
      </c>
      <c r="E6" s="690" t="str">
        <f>'Tiên lượng'!D8</f>
        <v>Phá dỡ kết cấu bê tông không cốt thép bằng búa căn. (Bê tông mặt đường cũ)</v>
      </c>
      <c r="F6" s="250" t="str">
        <f>'Tiên lượng'!E8</f>
        <v>m3</v>
      </c>
      <c r="G6" s="83"/>
      <c r="H6" s="21"/>
      <c r="I6" s="371"/>
      <c r="J6" s="185">
        <f>J7+J9</f>
        <v>303872.90000000002</v>
      </c>
      <c r="K6" s="600"/>
      <c r="L6" s="600"/>
      <c r="M6" s="600"/>
      <c r="N6" s="600"/>
      <c r="O6" s="600"/>
      <c r="P6" s="600"/>
      <c r="Q6" s="600"/>
      <c r="R6" s="600"/>
      <c r="S6" s="600"/>
      <c r="T6" s="600"/>
      <c r="U6" s="600"/>
      <c r="V6" s="600"/>
      <c r="W6" s="600"/>
      <c r="X6" s="600"/>
      <c r="Y6" s="600"/>
      <c r="Z6" s="600"/>
      <c r="AA6" s="600"/>
    </row>
    <row r="7" spans="1:27" x14ac:dyDescent="0.25">
      <c r="A7" s="607"/>
      <c r="B7" s="455"/>
      <c r="C7" s="762" t="s">
        <v>306</v>
      </c>
      <c r="D7" s="762" t="s">
        <v>306</v>
      </c>
      <c r="E7" s="882" t="s">
        <v>890</v>
      </c>
      <c r="F7" s="455" t="s">
        <v>125</v>
      </c>
      <c r="G7" s="687"/>
      <c r="H7" s="54"/>
      <c r="I7" s="3"/>
      <c r="J7" s="54">
        <f>SUM(J8:J8)</f>
        <v>132598.44</v>
      </c>
      <c r="K7" s="600"/>
      <c r="L7" s="600"/>
      <c r="M7" s="600"/>
      <c r="N7" s="600"/>
      <c r="O7" s="600"/>
      <c r="P7" s="600"/>
      <c r="Q7" s="600"/>
      <c r="R7" s="600"/>
      <c r="S7" s="600"/>
      <c r="T7" s="600"/>
      <c r="U7" s="600"/>
      <c r="V7" s="600"/>
      <c r="W7" s="600"/>
      <c r="X7" s="600"/>
      <c r="Y7" s="600"/>
      <c r="Z7" s="600"/>
      <c r="AA7" s="600"/>
    </row>
    <row r="8" spans="1:27" x14ac:dyDescent="0.25">
      <c r="A8" s="396"/>
      <c r="B8" s="731"/>
      <c r="C8" s="670" t="s">
        <v>306</v>
      </c>
      <c r="D8" s="349" t="s">
        <v>591</v>
      </c>
      <c r="E8" s="255" t="str">
        <f>" - " &amp; 'Giá NC'!E5</f>
        <v xml:space="preserve"> - Nhân công bậc 3,0/7 - Nhóm 1</v>
      </c>
      <c r="F8" s="731" t="str">
        <f>'Giá NC'!F5</f>
        <v>công</v>
      </c>
      <c r="G8" s="189">
        <f>PTVT!G8</f>
        <v>0.57999999999999996</v>
      </c>
      <c r="H8" s="843">
        <f>'Giá NC'!K5</f>
        <v>228618</v>
      </c>
      <c r="I8" s="282">
        <f>'Tiên lượng'!W8</f>
        <v>1</v>
      </c>
      <c r="J8" s="843">
        <f>PRODUCT(G8,H8,I8)</f>
        <v>132598.44</v>
      </c>
      <c r="K8" s="600"/>
      <c r="L8" s="600"/>
      <c r="M8" s="600"/>
      <c r="N8" s="600"/>
      <c r="O8" s="600"/>
      <c r="P8" s="600"/>
      <c r="Q8" s="600"/>
      <c r="R8" s="600"/>
      <c r="S8" s="600"/>
      <c r="T8" s="600"/>
      <c r="U8" s="600"/>
      <c r="V8" s="600"/>
      <c r="W8" s="600"/>
      <c r="X8" s="600"/>
      <c r="Y8" s="600"/>
      <c r="Z8" s="600"/>
      <c r="AA8" s="600"/>
    </row>
    <row r="9" spans="1:27" x14ac:dyDescent="0.25">
      <c r="A9" s="607"/>
      <c r="B9" s="455"/>
      <c r="C9" s="762" t="s">
        <v>306</v>
      </c>
      <c r="D9" s="762" t="s">
        <v>306</v>
      </c>
      <c r="E9" s="882" t="s">
        <v>556</v>
      </c>
      <c r="F9" s="455" t="s">
        <v>539</v>
      </c>
      <c r="G9" s="687"/>
      <c r="H9" s="54"/>
      <c r="I9" s="3"/>
      <c r="J9" s="54">
        <f>SUM(J10:J11)</f>
        <v>171274.46000000002</v>
      </c>
      <c r="K9" s="600"/>
      <c r="L9" s="600"/>
      <c r="M9" s="600"/>
      <c r="N9" s="600"/>
      <c r="O9" s="600"/>
      <c r="P9" s="600"/>
      <c r="Q9" s="600"/>
      <c r="R9" s="600"/>
      <c r="S9" s="600"/>
      <c r="T9" s="600"/>
      <c r="U9" s="600"/>
      <c r="V9" s="600"/>
      <c r="W9" s="600"/>
      <c r="X9" s="600"/>
      <c r="Y9" s="600"/>
      <c r="Z9" s="600"/>
      <c r="AA9" s="600"/>
    </row>
    <row r="10" spans="1:27" x14ac:dyDescent="0.25">
      <c r="A10" s="396"/>
      <c r="B10" s="731"/>
      <c r="C10" s="670" t="s">
        <v>306</v>
      </c>
      <c r="D10" s="349" t="s">
        <v>445</v>
      </c>
      <c r="E10" s="255" t="str">
        <f>" - " &amp; 'Giá Máy'!E5</f>
        <v xml:space="preserve"> - Búa căn khí nén 3m3/ph</v>
      </c>
      <c r="F10" s="731" t="str">
        <f>'Giá Máy'!F5</f>
        <v>ca</v>
      </c>
      <c r="G10" s="189">
        <f>PTVT!G10</f>
        <v>0.26</v>
      </c>
      <c r="H10" s="843">
        <f>'Giá Máy'!O5</f>
        <v>21147</v>
      </c>
      <c r="I10" s="282">
        <f>'Tiên lượng'!X8</f>
        <v>1</v>
      </c>
      <c r="J10" s="843">
        <f t="shared" ref="J10:J11" si="0">PRODUCT(G10,H10,I10)</f>
        <v>5498.22</v>
      </c>
      <c r="K10" s="600"/>
      <c r="L10" s="600"/>
      <c r="M10" s="600"/>
      <c r="N10" s="600"/>
      <c r="O10" s="600"/>
      <c r="P10" s="600"/>
      <c r="Q10" s="600"/>
      <c r="R10" s="600"/>
      <c r="S10" s="600"/>
      <c r="T10" s="600"/>
      <c r="U10" s="600"/>
      <c r="V10" s="600"/>
      <c r="W10" s="600"/>
      <c r="X10" s="600"/>
      <c r="Y10" s="600"/>
      <c r="Z10" s="600"/>
      <c r="AA10" s="600"/>
    </row>
    <row r="11" spans="1:27" x14ac:dyDescent="0.25">
      <c r="A11" s="419"/>
      <c r="B11" s="377"/>
      <c r="C11" s="682" t="s">
        <v>306</v>
      </c>
      <c r="D11" s="884" t="s">
        <v>647</v>
      </c>
      <c r="E11" s="798" t="str">
        <f>" - " &amp; 'Giá Máy'!E15</f>
        <v xml:space="preserve"> - Máy nén khí diezel 360m3/h</v>
      </c>
      <c r="F11" s="377" t="str">
        <f>'Giá Máy'!F15</f>
        <v>ca</v>
      </c>
      <c r="G11" s="208">
        <f>PTVT!G11</f>
        <v>0.14000000000000001</v>
      </c>
      <c r="H11" s="862">
        <f>'Giá Máy'!O15</f>
        <v>1184116</v>
      </c>
      <c r="I11" s="824">
        <f>'Tiên lượng'!X8</f>
        <v>1</v>
      </c>
      <c r="J11" s="862">
        <f t="shared" si="0"/>
        <v>165776.24000000002</v>
      </c>
      <c r="K11" s="600"/>
      <c r="L11" s="600"/>
      <c r="M11" s="600"/>
      <c r="N11" s="600"/>
      <c r="O11" s="600"/>
      <c r="P11" s="600"/>
      <c r="Q11" s="600"/>
      <c r="R11" s="600"/>
      <c r="S11" s="600"/>
      <c r="T11" s="600"/>
      <c r="U11" s="600"/>
      <c r="V11" s="600"/>
      <c r="W11" s="600"/>
      <c r="X11" s="600"/>
      <c r="Y11" s="600"/>
      <c r="Z11" s="600"/>
      <c r="AA11" s="600"/>
    </row>
    <row r="12" spans="1:27" x14ac:dyDescent="0.25">
      <c r="A12" s="477"/>
      <c r="B12" s="250">
        <v>2</v>
      </c>
      <c r="C12" s="190" t="str">
        <f>'Tiên lượng'!C10</f>
        <v>AB.55321</v>
      </c>
      <c r="D12" s="190" t="str">
        <f>'Tiên lượng'!C10</f>
        <v>AB.55321</v>
      </c>
      <c r="E12" s="690" t="str">
        <f>'Tiên lượng'!D10</f>
        <v>Xúc đá tảng, cục bê tông lên phương tiện vận chuyển bằng máy đào 3,6m3, ĐK 0,4÷1m</v>
      </c>
      <c r="F12" s="250" t="str">
        <f>'Tiên lượng'!E10</f>
        <v>100m3</v>
      </c>
      <c r="G12" s="83"/>
      <c r="H12" s="21"/>
      <c r="I12" s="371"/>
      <c r="J12" s="185">
        <f>J13+J15</f>
        <v>8555173.0640000012</v>
      </c>
      <c r="K12" s="600"/>
      <c r="L12" s="600"/>
      <c r="M12" s="600"/>
      <c r="N12" s="600"/>
      <c r="O12" s="600"/>
      <c r="P12" s="600"/>
      <c r="Q12" s="600"/>
      <c r="R12" s="600"/>
      <c r="S12" s="600"/>
      <c r="T12" s="600"/>
      <c r="U12" s="600"/>
      <c r="V12" s="600"/>
      <c r="W12" s="600"/>
      <c r="X12" s="600"/>
      <c r="Y12" s="600"/>
      <c r="Z12" s="600"/>
      <c r="AA12" s="600"/>
    </row>
    <row r="13" spans="1:27" x14ac:dyDescent="0.25">
      <c r="A13" s="607"/>
      <c r="B13" s="455"/>
      <c r="C13" s="762" t="s">
        <v>306</v>
      </c>
      <c r="D13" s="762" t="s">
        <v>306</v>
      </c>
      <c r="E13" s="882" t="s">
        <v>890</v>
      </c>
      <c r="F13" s="455" t="s">
        <v>125</v>
      </c>
      <c r="G13" s="687"/>
      <c r="H13" s="54"/>
      <c r="I13" s="3"/>
      <c r="J13" s="54">
        <f>SUM(J14:J14)</f>
        <v>153174.06</v>
      </c>
      <c r="K13" s="600"/>
      <c r="L13" s="600"/>
      <c r="M13" s="600"/>
      <c r="N13" s="600"/>
      <c r="O13" s="600"/>
      <c r="P13" s="600"/>
      <c r="Q13" s="600"/>
      <c r="R13" s="600"/>
      <c r="S13" s="600"/>
      <c r="T13" s="600"/>
      <c r="U13" s="600"/>
      <c r="V13" s="600"/>
      <c r="W13" s="600"/>
      <c r="X13" s="600"/>
      <c r="Y13" s="600"/>
      <c r="Z13" s="600"/>
      <c r="AA13" s="600"/>
    </row>
    <row r="14" spans="1:27" x14ac:dyDescent="0.25">
      <c r="A14" s="396"/>
      <c r="B14" s="731"/>
      <c r="C14" s="670" t="s">
        <v>306</v>
      </c>
      <c r="D14" s="349" t="s">
        <v>591</v>
      </c>
      <c r="E14" s="255" t="str">
        <f>" - " &amp; 'Giá NC'!E5</f>
        <v xml:space="preserve"> - Nhân công bậc 3,0/7 - Nhóm 1</v>
      </c>
      <c r="F14" s="731" t="str">
        <f>'Giá NC'!F5</f>
        <v>công</v>
      </c>
      <c r="G14" s="189">
        <f>PTVT!G14</f>
        <v>0.67</v>
      </c>
      <c r="H14" s="843">
        <f>'Giá NC'!K5</f>
        <v>228618</v>
      </c>
      <c r="I14" s="282">
        <f>'Tiên lượng'!W10</f>
        <v>1</v>
      </c>
      <c r="J14" s="843">
        <f>PRODUCT(G14,H14,I14)</f>
        <v>153174.06</v>
      </c>
      <c r="K14" s="600"/>
      <c r="L14" s="600"/>
      <c r="M14" s="600"/>
      <c r="N14" s="600"/>
      <c r="O14" s="600"/>
      <c r="P14" s="600"/>
      <c r="Q14" s="600"/>
      <c r="R14" s="600"/>
      <c r="S14" s="600"/>
      <c r="T14" s="600"/>
      <c r="U14" s="600"/>
      <c r="V14" s="600"/>
      <c r="W14" s="600"/>
      <c r="X14" s="600"/>
      <c r="Y14" s="600"/>
      <c r="Z14" s="600"/>
      <c r="AA14" s="600"/>
    </row>
    <row r="15" spans="1:27" x14ac:dyDescent="0.25">
      <c r="A15" s="607"/>
      <c r="B15" s="455"/>
      <c r="C15" s="762" t="s">
        <v>306</v>
      </c>
      <c r="D15" s="762" t="s">
        <v>306</v>
      </c>
      <c r="E15" s="882" t="s">
        <v>556</v>
      </c>
      <c r="F15" s="455" t="s">
        <v>539</v>
      </c>
      <c r="G15" s="687"/>
      <c r="H15" s="54"/>
      <c r="I15" s="3"/>
      <c r="J15" s="54">
        <f>SUM(J16:J16)</f>
        <v>8401999.0040000007</v>
      </c>
      <c r="K15" s="600"/>
      <c r="L15" s="600"/>
      <c r="M15" s="600"/>
      <c r="N15" s="600"/>
      <c r="O15" s="600"/>
      <c r="P15" s="600"/>
      <c r="Q15" s="600"/>
      <c r="R15" s="600"/>
      <c r="S15" s="600"/>
      <c r="T15" s="600"/>
      <c r="U15" s="600"/>
      <c r="V15" s="600"/>
      <c r="W15" s="600"/>
      <c r="X15" s="600"/>
      <c r="Y15" s="600"/>
      <c r="Z15" s="600"/>
      <c r="AA15" s="600"/>
    </row>
    <row r="16" spans="1:27" x14ac:dyDescent="0.25">
      <c r="A16" s="419"/>
      <c r="B16" s="377"/>
      <c r="C16" s="682" t="s">
        <v>306</v>
      </c>
      <c r="D16" s="884" t="s">
        <v>68</v>
      </c>
      <c r="E16" s="798" t="str">
        <f>" - " &amp; 'Giá Máy'!E12</f>
        <v xml:space="preserve"> - Máy đào 3,6m3</v>
      </c>
      <c r="F16" s="377" t="str">
        <f>'Giá Máy'!F12</f>
        <v>ca</v>
      </c>
      <c r="G16" s="208">
        <f>PTVT!G16</f>
        <v>0.97299999999999998</v>
      </c>
      <c r="H16" s="862">
        <f>'Giá Máy'!O12</f>
        <v>8635148</v>
      </c>
      <c r="I16" s="824">
        <f>'Tiên lượng'!X10</f>
        <v>1</v>
      </c>
      <c r="J16" s="862">
        <f>PRODUCT(G16,H16,I16)</f>
        <v>8401999.0040000007</v>
      </c>
      <c r="K16" s="600"/>
      <c r="L16" s="600"/>
      <c r="M16" s="600"/>
      <c r="N16" s="600"/>
      <c r="O16" s="600"/>
      <c r="P16" s="600"/>
      <c r="Q16" s="600"/>
      <c r="R16" s="600"/>
      <c r="S16" s="600"/>
      <c r="T16" s="600"/>
      <c r="U16" s="600"/>
      <c r="V16" s="600"/>
      <c r="W16" s="600"/>
      <c r="X16" s="600"/>
      <c r="Y16" s="600"/>
      <c r="Z16" s="600"/>
      <c r="AA16" s="600"/>
    </row>
    <row r="17" spans="1:27" x14ac:dyDescent="0.25">
      <c r="A17" s="477"/>
      <c r="B17" s="250">
        <v>3</v>
      </c>
      <c r="C17" s="190" t="str">
        <f>'Tiên lượng'!C12</f>
        <v>AB.56412</v>
      </c>
      <c r="D17" s="190" t="str">
        <f>'Tiên lượng'!C12</f>
        <v>AB.56412</v>
      </c>
      <c r="E17" s="690" t="str">
        <f>'Tiên lượng'!D12</f>
        <v>Vận chuyển đá tảng, cục bê tông, ĐK 0,4÷1m, ô tô tự đổ 12T trong phạm vi ≤1000m</v>
      </c>
      <c r="F17" s="250" t="str">
        <f>'Tiên lượng'!E12</f>
        <v>100m3</v>
      </c>
      <c r="G17" s="83"/>
      <c r="H17" s="21"/>
      <c r="I17" s="371"/>
      <c r="J17" s="185">
        <f>J18</f>
        <v>7400473.6320000002</v>
      </c>
      <c r="K17" s="600"/>
      <c r="L17" s="600"/>
      <c r="M17" s="600"/>
      <c r="N17" s="600"/>
      <c r="O17" s="600"/>
      <c r="P17" s="600"/>
      <c r="Q17" s="600"/>
      <c r="R17" s="600"/>
      <c r="S17" s="600"/>
      <c r="T17" s="600"/>
      <c r="U17" s="600"/>
      <c r="V17" s="600"/>
      <c r="W17" s="600"/>
      <c r="X17" s="600"/>
      <c r="Y17" s="600"/>
      <c r="Z17" s="600"/>
      <c r="AA17" s="600"/>
    </row>
    <row r="18" spans="1:27" x14ac:dyDescent="0.25">
      <c r="A18" s="607"/>
      <c r="B18" s="455"/>
      <c r="C18" s="762" t="s">
        <v>306</v>
      </c>
      <c r="D18" s="762" t="s">
        <v>306</v>
      </c>
      <c r="E18" s="882" t="s">
        <v>556</v>
      </c>
      <c r="F18" s="455" t="s">
        <v>539</v>
      </c>
      <c r="G18" s="687"/>
      <c r="H18" s="54"/>
      <c r="I18" s="3"/>
      <c r="J18" s="54">
        <f>SUM(J19:J19)</f>
        <v>7400473.6320000002</v>
      </c>
      <c r="K18" s="600"/>
      <c r="L18" s="600"/>
      <c r="M18" s="600"/>
      <c r="N18" s="600"/>
      <c r="O18" s="600"/>
      <c r="P18" s="600"/>
      <c r="Q18" s="600"/>
      <c r="R18" s="600"/>
      <c r="S18" s="600"/>
      <c r="T18" s="600"/>
      <c r="U18" s="600"/>
      <c r="V18" s="600"/>
      <c r="W18" s="600"/>
      <c r="X18" s="600"/>
      <c r="Y18" s="600"/>
      <c r="Z18" s="600"/>
      <c r="AA18" s="600"/>
    </row>
    <row r="19" spans="1:27" x14ac:dyDescent="0.25">
      <c r="A19" s="419"/>
      <c r="B19" s="377"/>
      <c r="C19" s="682" t="s">
        <v>306</v>
      </c>
      <c r="D19" s="884" t="s">
        <v>111</v>
      </c>
      <c r="E19" s="798" t="str">
        <f>" - " &amp; 'Giá Máy'!E17</f>
        <v xml:space="preserve"> - Ô tô tự đổ 12T</v>
      </c>
      <c r="F19" s="377" t="str">
        <f>'Giá Máy'!F17</f>
        <v>ca</v>
      </c>
      <c r="G19" s="208">
        <f>PTVT!G19</f>
        <v>3.1520000000000001</v>
      </c>
      <c r="H19" s="862">
        <f>'Giá Máy'!O17</f>
        <v>2347866</v>
      </c>
      <c r="I19" s="824">
        <f>'Tiên lượng'!X12</f>
        <v>1</v>
      </c>
      <c r="J19" s="862">
        <f>PRODUCT(G19,H19,I19)</f>
        <v>7400473.6320000002</v>
      </c>
      <c r="K19" s="600"/>
      <c r="L19" s="600"/>
      <c r="M19" s="600"/>
      <c r="N19" s="600"/>
      <c r="O19" s="600"/>
      <c r="P19" s="600"/>
      <c r="Q19" s="600"/>
      <c r="R19" s="600"/>
      <c r="S19" s="600"/>
      <c r="T19" s="600"/>
      <c r="U19" s="600"/>
      <c r="V19" s="600"/>
      <c r="W19" s="600"/>
      <c r="X19" s="600"/>
      <c r="Y19" s="600"/>
      <c r="Z19" s="600"/>
      <c r="AA19" s="600"/>
    </row>
    <row r="20" spans="1:27" x14ac:dyDescent="0.25">
      <c r="A20" s="477"/>
      <c r="B20" s="250">
        <v>4</v>
      </c>
      <c r="C20" s="190" t="str">
        <f>'Tiên lượng'!C13</f>
        <v>TT</v>
      </c>
      <c r="D20" s="190" t="str">
        <f>'Tiên lượng'!C13</f>
        <v>TT</v>
      </c>
      <c r="E20" s="690" t="str">
        <f>'Tiên lượng'!D13</f>
        <v>Đào xúc đất sạt lở ta luy đồi xuống đường bằng máy xúc đào 0,4m3</v>
      </c>
      <c r="F20" s="250" t="str">
        <f>'Tiên lượng'!E13</f>
        <v>ca</v>
      </c>
      <c r="G20" s="83"/>
      <c r="H20" s="21"/>
      <c r="I20" s="371"/>
      <c r="J20" s="185">
        <f>J21</f>
        <v>3200000</v>
      </c>
      <c r="K20" s="600"/>
      <c r="L20" s="600"/>
      <c r="M20" s="600"/>
      <c r="N20" s="600"/>
      <c r="O20" s="600"/>
      <c r="P20" s="600"/>
      <c r="Q20" s="600"/>
      <c r="R20" s="600"/>
      <c r="S20" s="600"/>
      <c r="T20" s="600"/>
      <c r="U20" s="600"/>
      <c r="V20" s="600"/>
      <c r="W20" s="600"/>
      <c r="X20" s="600"/>
      <c r="Y20" s="600"/>
      <c r="Z20" s="600"/>
      <c r="AA20" s="600"/>
    </row>
    <row r="21" spans="1:27" x14ac:dyDescent="0.25">
      <c r="A21" s="607"/>
      <c r="B21" s="455"/>
      <c r="C21" s="762" t="s">
        <v>306</v>
      </c>
      <c r="D21" s="762" t="s">
        <v>306</v>
      </c>
      <c r="E21" s="882" t="s">
        <v>556</v>
      </c>
      <c r="F21" s="455" t="s">
        <v>539</v>
      </c>
      <c r="G21" s="687"/>
      <c r="H21" s="54"/>
      <c r="I21" s="3"/>
      <c r="J21" s="54">
        <f>SUM(J22:J22)</f>
        <v>3200000</v>
      </c>
      <c r="K21" s="600"/>
      <c r="L21" s="600"/>
      <c r="M21" s="600"/>
      <c r="N21" s="600"/>
      <c r="O21" s="600"/>
      <c r="P21" s="600"/>
      <c r="Q21" s="600"/>
      <c r="R21" s="600"/>
      <c r="S21" s="600"/>
      <c r="T21" s="600"/>
      <c r="U21" s="600"/>
      <c r="V21" s="600"/>
      <c r="W21" s="600"/>
      <c r="X21" s="600"/>
      <c r="Y21" s="600"/>
      <c r="Z21" s="600"/>
      <c r="AA21" s="600"/>
    </row>
    <row r="22" spans="1:27" x14ac:dyDescent="0.25">
      <c r="A22" s="419"/>
      <c r="B22" s="377"/>
      <c r="C22" s="682" t="s">
        <v>306</v>
      </c>
      <c r="D22" s="884" t="s">
        <v>306</v>
      </c>
      <c r="E22" s="798" t="s">
        <v>1228</v>
      </c>
      <c r="F22" s="377" t="s">
        <v>1272</v>
      </c>
      <c r="G22" s="208">
        <f>PTVT!G26</f>
        <v>1</v>
      </c>
      <c r="H22" s="862">
        <f>'Tiên lượng'!Q13</f>
        <v>3200000</v>
      </c>
      <c r="I22" s="824">
        <f>'Tiên lượng'!X13</f>
        <v>1</v>
      </c>
      <c r="J22" s="862">
        <f>PRODUCT(G22,H22,I22)</f>
        <v>3200000</v>
      </c>
      <c r="K22" s="600"/>
      <c r="L22" s="600"/>
      <c r="M22" s="600"/>
      <c r="N22" s="600"/>
      <c r="O22" s="600"/>
      <c r="P22" s="600"/>
      <c r="Q22" s="600"/>
      <c r="R22" s="600"/>
      <c r="S22" s="600"/>
      <c r="T22" s="600"/>
      <c r="U22" s="600"/>
      <c r="V22" s="600"/>
      <c r="W22" s="600"/>
      <c r="X22" s="600"/>
      <c r="Y22" s="600"/>
      <c r="Z22" s="600"/>
      <c r="AA22" s="600"/>
    </row>
    <row r="23" spans="1:27" x14ac:dyDescent="0.25">
      <c r="A23" s="477"/>
      <c r="B23" s="250">
        <v>5</v>
      </c>
      <c r="C23" s="190" t="str">
        <f>'Tiên lượng'!C14</f>
        <v>TT</v>
      </c>
      <c r="D23" s="190" t="str">
        <f>'Tiên lượng'!C14</f>
        <v>TT</v>
      </c>
      <c r="E23" s="690" t="str">
        <f>'Tiên lượng'!D14</f>
        <v>vận chuyển đất sạt lở ta luy đồi bằng ô tô</v>
      </c>
      <c r="F23" s="250" t="str">
        <f>'Tiên lượng'!E14</f>
        <v>ca</v>
      </c>
      <c r="G23" s="83"/>
      <c r="H23" s="21"/>
      <c r="I23" s="371"/>
      <c r="J23" s="185">
        <f>J24</f>
        <v>2000000</v>
      </c>
      <c r="K23" s="600"/>
      <c r="L23" s="600"/>
      <c r="M23" s="600"/>
      <c r="N23" s="600"/>
      <c r="O23" s="600"/>
      <c r="P23" s="600"/>
      <c r="Q23" s="600"/>
      <c r="R23" s="600"/>
      <c r="S23" s="600"/>
      <c r="T23" s="600"/>
      <c r="U23" s="600"/>
      <c r="V23" s="600"/>
      <c r="W23" s="600"/>
      <c r="X23" s="600"/>
      <c r="Y23" s="600"/>
      <c r="Z23" s="600"/>
      <c r="AA23" s="600"/>
    </row>
    <row r="24" spans="1:27" x14ac:dyDescent="0.25">
      <c r="A24" s="607"/>
      <c r="B24" s="455"/>
      <c r="C24" s="762" t="s">
        <v>306</v>
      </c>
      <c r="D24" s="762" t="s">
        <v>306</v>
      </c>
      <c r="E24" s="882" t="s">
        <v>556</v>
      </c>
      <c r="F24" s="455" t="s">
        <v>539</v>
      </c>
      <c r="G24" s="687"/>
      <c r="H24" s="54"/>
      <c r="I24" s="3"/>
      <c r="J24" s="54">
        <f>SUM(J25:J25)</f>
        <v>2000000</v>
      </c>
      <c r="K24" s="600"/>
      <c r="L24" s="600"/>
      <c r="M24" s="600"/>
      <c r="N24" s="600"/>
      <c r="O24" s="600"/>
      <c r="P24" s="600"/>
      <c r="Q24" s="600"/>
      <c r="R24" s="600"/>
      <c r="S24" s="600"/>
      <c r="T24" s="600"/>
      <c r="U24" s="600"/>
      <c r="V24" s="600"/>
      <c r="W24" s="600"/>
      <c r="X24" s="600"/>
      <c r="Y24" s="600"/>
      <c r="Z24" s="600"/>
      <c r="AA24" s="600"/>
    </row>
    <row r="25" spans="1:27" x14ac:dyDescent="0.25">
      <c r="A25" s="419"/>
      <c r="B25" s="377"/>
      <c r="C25" s="682" t="s">
        <v>306</v>
      </c>
      <c r="D25" s="884" t="s">
        <v>306</v>
      </c>
      <c r="E25" s="798" t="s">
        <v>1228</v>
      </c>
      <c r="F25" s="377" t="s">
        <v>1272</v>
      </c>
      <c r="G25" s="208">
        <f>PTVT!G33</f>
        <v>1</v>
      </c>
      <c r="H25" s="862">
        <f>'Tiên lượng'!Q14</f>
        <v>2000000</v>
      </c>
      <c r="I25" s="824">
        <f>'Tiên lượng'!X14</f>
        <v>1</v>
      </c>
      <c r="J25" s="862">
        <f>PRODUCT(G25,H25,I25)</f>
        <v>2000000</v>
      </c>
      <c r="K25" s="600"/>
      <c r="L25" s="600"/>
      <c r="M25" s="600"/>
      <c r="N25" s="600"/>
      <c r="O25" s="600"/>
      <c r="P25" s="600"/>
      <c r="Q25" s="600"/>
      <c r="R25" s="600"/>
      <c r="S25" s="600"/>
      <c r="T25" s="600"/>
      <c r="U25" s="600"/>
      <c r="V25" s="600"/>
      <c r="W25" s="600"/>
      <c r="X25" s="600"/>
      <c r="Y25" s="600"/>
      <c r="Z25" s="600"/>
      <c r="AA25" s="600"/>
    </row>
    <row r="26" spans="1:27" ht="30" x14ac:dyDescent="0.25">
      <c r="A26" s="477"/>
      <c r="B26" s="250">
        <v>6</v>
      </c>
      <c r="C26" s="190" t="str">
        <f>'Tiên lượng'!C15</f>
        <v>AB.31113</v>
      </c>
      <c r="D26" s="190" t="str">
        <f>'Tiên lượng'!C15</f>
        <v>AB.31113</v>
      </c>
      <c r="E26" s="690" t="str">
        <f>'Tiên lượng'!D15</f>
        <v>Đào nền đường bằng máy đào 0,4m3 - Cấp đất III (Bổ sung TT09/2024). Đào hạ nền đường trung bình 50cm, dài 50m</v>
      </c>
      <c r="F26" s="250" t="str">
        <f>'Tiên lượng'!E15</f>
        <v>100m3</v>
      </c>
      <c r="G26" s="83"/>
      <c r="H26" s="21"/>
      <c r="I26" s="371"/>
      <c r="J26" s="185">
        <f>J27+J29</f>
        <v>6551050.8799999999</v>
      </c>
      <c r="K26" s="600"/>
      <c r="L26" s="600"/>
      <c r="M26" s="600"/>
      <c r="N26" s="600"/>
      <c r="O26" s="600"/>
      <c r="P26" s="600"/>
      <c r="Q26" s="600"/>
      <c r="R26" s="600"/>
      <c r="S26" s="600"/>
      <c r="T26" s="600"/>
      <c r="U26" s="600"/>
      <c r="V26" s="600"/>
      <c r="W26" s="600"/>
      <c r="X26" s="600"/>
      <c r="Y26" s="600"/>
      <c r="Z26" s="600"/>
      <c r="AA26" s="600"/>
    </row>
    <row r="27" spans="1:27" x14ac:dyDescent="0.25">
      <c r="A27" s="607"/>
      <c r="B27" s="455"/>
      <c r="C27" s="762" t="s">
        <v>306</v>
      </c>
      <c r="D27" s="762" t="s">
        <v>306</v>
      </c>
      <c r="E27" s="882" t="s">
        <v>890</v>
      </c>
      <c r="F27" s="455" t="s">
        <v>125</v>
      </c>
      <c r="G27" s="687"/>
      <c r="H27" s="54"/>
      <c r="I27" s="3"/>
      <c r="J27" s="54">
        <f>SUM(J28:J28)</f>
        <v>951050.88</v>
      </c>
      <c r="K27" s="600"/>
      <c r="L27" s="600"/>
      <c r="M27" s="600"/>
      <c r="N27" s="600"/>
      <c r="O27" s="600"/>
      <c r="P27" s="600"/>
      <c r="Q27" s="600"/>
      <c r="R27" s="600"/>
      <c r="S27" s="600"/>
      <c r="T27" s="600"/>
      <c r="U27" s="600"/>
      <c r="V27" s="600"/>
      <c r="W27" s="600"/>
      <c r="X27" s="600"/>
      <c r="Y27" s="600"/>
      <c r="Z27" s="600"/>
      <c r="AA27" s="600"/>
    </row>
    <row r="28" spans="1:27" x14ac:dyDescent="0.25">
      <c r="A28" s="396"/>
      <c r="B28" s="731"/>
      <c r="C28" s="670" t="s">
        <v>306</v>
      </c>
      <c r="D28" s="349" t="s">
        <v>591</v>
      </c>
      <c r="E28" s="255" t="str">
        <f>" - " &amp; 'Giá NC'!E5</f>
        <v xml:space="preserve"> - Nhân công bậc 3,0/7 - Nhóm 1</v>
      </c>
      <c r="F28" s="731" t="str">
        <f>'Giá NC'!F5</f>
        <v>công</v>
      </c>
      <c r="G28" s="189">
        <f>PTVT!G36</f>
        <v>4.16</v>
      </c>
      <c r="H28" s="843">
        <f>'Giá NC'!K5</f>
        <v>228618</v>
      </c>
      <c r="I28" s="282">
        <f>'Tiên lượng'!W15</f>
        <v>1</v>
      </c>
      <c r="J28" s="843">
        <f>PRODUCT(G28,H28,I28)</f>
        <v>951050.88</v>
      </c>
      <c r="K28" s="600"/>
      <c r="L28" s="600"/>
      <c r="M28" s="600"/>
      <c r="N28" s="600"/>
      <c r="O28" s="600"/>
      <c r="P28" s="600"/>
      <c r="Q28" s="600"/>
      <c r="R28" s="600"/>
      <c r="S28" s="600"/>
      <c r="T28" s="600"/>
      <c r="U28" s="600"/>
      <c r="V28" s="600"/>
      <c r="W28" s="600"/>
      <c r="X28" s="600"/>
      <c r="Y28" s="600"/>
      <c r="Z28" s="600"/>
      <c r="AA28" s="600"/>
    </row>
    <row r="29" spans="1:27" x14ac:dyDescent="0.25">
      <c r="A29" s="607"/>
      <c r="B29" s="455"/>
      <c r="C29" s="762" t="s">
        <v>306</v>
      </c>
      <c r="D29" s="762" t="s">
        <v>306</v>
      </c>
      <c r="E29" s="882" t="s">
        <v>556</v>
      </c>
      <c r="F29" s="455" t="s">
        <v>539</v>
      </c>
      <c r="G29" s="687"/>
      <c r="H29" s="54"/>
      <c r="I29" s="3"/>
      <c r="J29" s="54">
        <f>SUM(J30:J30)</f>
        <v>5600000</v>
      </c>
      <c r="K29" s="600"/>
      <c r="L29" s="600"/>
      <c r="M29" s="600"/>
      <c r="N29" s="600"/>
      <c r="O29" s="600"/>
      <c r="P29" s="600"/>
      <c r="Q29" s="600"/>
      <c r="R29" s="600"/>
      <c r="S29" s="600"/>
      <c r="T29" s="600"/>
      <c r="U29" s="600"/>
      <c r="V29" s="600"/>
      <c r="W29" s="600"/>
      <c r="X29" s="600"/>
      <c r="Y29" s="600"/>
      <c r="Z29" s="600"/>
      <c r="AA29" s="600"/>
    </row>
    <row r="30" spans="1:27" x14ac:dyDescent="0.25">
      <c r="A30" s="419"/>
      <c r="B30" s="377"/>
      <c r="C30" s="682" t="s">
        <v>306</v>
      </c>
      <c r="D30" s="884" t="s">
        <v>921</v>
      </c>
      <c r="E30" s="798" t="str">
        <f>" - " &amp; 'Giá Máy'!E11</f>
        <v xml:space="preserve"> - Máy đào 0,4m3</v>
      </c>
      <c r="F30" s="377" t="str">
        <f>'Giá Máy'!F11</f>
        <v>ca</v>
      </c>
      <c r="G30" s="208">
        <f>PTVT!G38</f>
        <v>2</v>
      </c>
      <c r="H30" s="862">
        <f>'Giá Máy'!O11</f>
        <v>2800000</v>
      </c>
      <c r="I30" s="824">
        <f>'Tiên lượng'!X15</f>
        <v>1</v>
      </c>
      <c r="J30" s="862">
        <f>PRODUCT(G30,H30,I30)</f>
        <v>5600000</v>
      </c>
      <c r="K30" s="600"/>
      <c r="L30" s="600"/>
      <c r="M30" s="600"/>
      <c r="N30" s="600"/>
      <c r="O30" s="600"/>
      <c r="P30" s="600"/>
      <c r="Q30" s="600"/>
      <c r="R30" s="600"/>
      <c r="S30" s="600"/>
      <c r="T30" s="600"/>
      <c r="U30" s="600"/>
      <c r="V30" s="600"/>
      <c r="W30" s="600"/>
      <c r="X30" s="600"/>
      <c r="Y30" s="600"/>
      <c r="Z30" s="600"/>
      <c r="AA30" s="600"/>
    </row>
    <row r="31" spans="1:27" x14ac:dyDescent="0.25">
      <c r="A31" s="477"/>
      <c r="B31" s="250">
        <v>7</v>
      </c>
      <c r="C31" s="190" t="str">
        <f>'Tiên lượng'!C17</f>
        <v>AB.41123.VD</v>
      </c>
      <c r="D31" s="190" t="str">
        <f>'Tiên lượng'!C17</f>
        <v>AB.41123.VD</v>
      </c>
      <c r="E31" s="690" t="str">
        <f>'Tiên lượng'!D17</f>
        <v>Vận chuyển đất bằng ô tô tự đổ 7T, phạm vi ≤300m - Cấp đất III</v>
      </c>
      <c r="F31" s="250" t="str">
        <f>'Tiên lượng'!E17</f>
        <v>ca</v>
      </c>
      <c r="G31" s="83"/>
      <c r="H31" s="21"/>
      <c r="I31" s="371"/>
      <c r="J31" s="185">
        <f>J32</f>
        <v>2000000</v>
      </c>
      <c r="K31" s="600"/>
      <c r="L31" s="600"/>
      <c r="M31" s="600"/>
      <c r="N31" s="600"/>
      <c r="O31" s="600"/>
      <c r="P31" s="600"/>
      <c r="Q31" s="600"/>
      <c r="R31" s="600"/>
      <c r="S31" s="600"/>
      <c r="T31" s="600"/>
      <c r="U31" s="600"/>
      <c r="V31" s="600"/>
      <c r="W31" s="600"/>
      <c r="X31" s="600"/>
      <c r="Y31" s="600"/>
      <c r="Z31" s="600"/>
      <c r="AA31" s="600"/>
    </row>
    <row r="32" spans="1:27" x14ac:dyDescent="0.25">
      <c r="A32" s="607"/>
      <c r="B32" s="455"/>
      <c r="C32" s="762" t="s">
        <v>306</v>
      </c>
      <c r="D32" s="762" t="s">
        <v>306</v>
      </c>
      <c r="E32" s="882" t="s">
        <v>556</v>
      </c>
      <c r="F32" s="455" t="s">
        <v>539</v>
      </c>
      <c r="G32" s="687"/>
      <c r="H32" s="54"/>
      <c r="I32" s="3"/>
      <c r="J32" s="54">
        <f>SUM(J33:J33)</f>
        <v>2000000</v>
      </c>
      <c r="K32" s="600"/>
      <c r="L32" s="600"/>
      <c r="M32" s="600"/>
      <c r="N32" s="600"/>
      <c r="O32" s="600"/>
      <c r="P32" s="600"/>
      <c r="Q32" s="600"/>
      <c r="R32" s="600"/>
      <c r="S32" s="600"/>
      <c r="T32" s="600"/>
      <c r="U32" s="600"/>
      <c r="V32" s="600"/>
      <c r="W32" s="600"/>
      <c r="X32" s="600"/>
      <c r="Y32" s="600"/>
      <c r="Z32" s="600"/>
      <c r="AA32" s="600"/>
    </row>
    <row r="33" spans="1:27" x14ac:dyDescent="0.25">
      <c r="A33" s="419"/>
      <c r="B33" s="377"/>
      <c r="C33" s="682" t="s">
        <v>306</v>
      </c>
      <c r="D33" s="884" t="s">
        <v>691</v>
      </c>
      <c r="E33" s="798" t="str">
        <f>" - " &amp; 'Giá Máy'!E18</f>
        <v xml:space="preserve"> - Ô tô tự đổ 7T</v>
      </c>
      <c r="F33" s="377" t="str">
        <f>'Giá Máy'!F18</f>
        <v>ca</v>
      </c>
      <c r="G33" s="208">
        <f>PTVT!G41</f>
        <v>1</v>
      </c>
      <c r="H33" s="862">
        <f>'Giá Máy'!O18</f>
        <v>2000000</v>
      </c>
      <c r="I33" s="824">
        <f>'Tiên lượng'!X17</f>
        <v>1</v>
      </c>
      <c r="J33" s="862">
        <f>PRODUCT(G33,H33,I33)</f>
        <v>2000000</v>
      </c>
      <c r="K33" s="600"/>
      <c r="L33" s="600"/>
      <c r="M33" s="600"/>
      <c r="N33" s="600"/>
      <c r="O33" s="600"/>
      <c r="P33" s="600"/>
      <c r="Q33" s="600"/>
      <c r="R33" s="600"/>
      <c r="S33" s="600"/>
      <c r="T33" s="600"/>
      <c r="U33" s="600"/>
      <c r="V33" s="600"/>
      <c r="W33" s="600"/>
      <c r="X33" s="600"/>
      <c r="Y33" s="600"/>
      <c r="Z33" s="600"/>
      <c r="AA33" s="600"/>
    </row>
    <row r="34" spans="1:27" x14ac:dyDescent="0.25">
      <c r="A34" s="477"/>
      <c r="B34" s="250">
        <v>8</v>
      </c>
      <c r="C34" s="190" t="str">
        <f>'Tiên lượng'!C18</f>
        <v>AD.11212.VD</v>
      </c>
      <c r="D34" s="190" t="str">
        <f>'Tiên lượng'!C18</f>
        <v>AD.11212.VD</v>
      </c>
      <c r="E34" s="690" t="str">
        <f>'Tiên lượng'!D18</f>
        <v>Bù vênh mặt đường bằng Đá dăm cấp phối loại II (Subbase)</v>
      </c>
      <c r="F34" s="250" t="str">
        <f>'Tiên lượng'!E18</f>
        <v>100m3</v>
      </c>
      <c r="G34" s="83"/>
      <c r="H34" s="21"/>
      <c r="I34" s="371"/>
      <c r="J34" s="185">
        <f>J35+J37+J39</f>
        <v>55153258.102591999</v>
      </c>
      <c r="K34" s="600"/>
      <c r="L34" s="600"/>
      <c r="M34" s="600"/>
      <c r="N34" s="600"/>
      <c r="O34" s="600"/>
      <c r="P34" s="600"/>
      <c r="Q34" s="600"/>
      <c r="R34" s="600"/>
      <c r="S34" s="600"/>
      <c r="T34" s="600"/>
      <c r="U34" s="600"/>
      <c r="V34" s="600"/>
      <c r="W34" s="600"/>
      <c r="X34" s="600"/>
      <c r="Y34" s="600"/>
      <c r="Z34" s="600"/>
      <c r="AA34" s="600"/>
    </row>
    <row r="35" spans="1:27" x14ac:dyDescent="0.25">
      <c r="A35" s="607"/>
      <c r="B35" s="455"/>
      <c r="C35" s="762" t="s">
        <v>306</v>
      </c>
      <c r="D35" s="762" t="s">
        <v>306</v>
      </c>
      <c r="E35" s="882" t="s">
        <v>1372</v>
      </c>
      <c r="F35" s="455" t="s">
        <v>479</v>
      </c>
      <c r="G35" s="687"/>
      <c r="H35" s="54"/>
      <c r="I35" s="3"/>
      <c r="J35" s="54">
        <f>SUM(J36:J36)</f>
        <v>53127806.215591997</v>
      </c>
      <c r="K35" s="600"/>
      <c r="L35" s="600"/>
      <c r="M35" s="600"/>
      <c r="N35" s="600"/>
      <c r="O35" s="600"/>
      <c r="P35" s="600"/>
      <c r="Q35" s="600"/>
      <c r="R35" s="600"/>
      <c r="S35" s="600"/>
      <c r="T35" s="600"/>
      <c r="U35" s="600"/>
      <c r="V35" s="600"/>
      <c r="W35" s="600"/>
      <c r="X35" s="600"/>
      <c r="Y35" s="600"/>
      <c r="Z35" s="600"/>
      <c r="AA35" s="600"/>
    </row>
    <row r="36" spans="1:27" x14ac:dyDescent="0.25">
      <c r="A36" s="396"/>
      <c r="B36" s="731"/>
      <c r="C36" s="670" t="s">
        <v>306</v>
      </c>
      <c r="D36" s="349" t="s">
        <v>1290</v>
      </c>
      <c r="E36" s="255" t="str">
        <f>" - " &amp; 'Giá VL'!E6</f>
        <v xml:space="preserve"> - Đá Base B</v>
      </c>
      <c r="F36" s="731" t="str">
        <f>'Giá VL'!F6</f>
        <v>m3</v>
      </c>
      <c r="G36" s="189">
        <f>PTVT!G44</f>
        <v>134</v>
      </c>
      <c r="H36" s="843">
        <f>'Giá VL'!V6</f>
        <v>396476.16578799998</v>
      </c>
      <c r="I36" s="282">
        <f>'Tiên lượng'!V18</f>
        <v>1</v>
      </c>
      <c r="J36" s="843">
        <f>PRODUCT(G36,H36,I36)</f>
        <v>53127806.215591997</v>
      </c>
      <c r="K36" s="600"/>
      <c r="L36" s="600"/>
      <c r="M36" s="600"/>
      <c r="N36" s="600"/>
      <c r="O36" s="600"/>
      <c r="P36" s="600"/>
      <c r="Q36" s="600"/>
      <c r="R36" s="600"/>
      <c r="S36" s="600"/>
      <c r="T36" s="600"/>
      <c r="U36" s="600"/>
      <c r="V36" s="600"/>
      <c r="W36" s="600"/>
      <c r="X36" s="600"/>
      <c r="Y36" s="600"/>
      <c r="Z36" s="600"/>
      <c r="AA36" s="600"/>
    </row>
    <row r="37" spans="1:27" x14ac:dyDescent="0.25">
      <c r="A37" s="607"/>
      <c r="B37" s="455"/>
      <c r="C37" s="762" t="s">
        <v>306</v>
      </c>
      <c r="D37" s="762" t="s">
        <v>306</v>
      </c>
      <c r="E37" s="882" t="s">
        <v>890</v>
      </c>
      <c r="F37" s="455" t="s">
        <v>125</v>
      </c>
      <c r="G37" s="687"/>
      <c r="H37" s="54"/>
      <c r="I37" s="3"/>
      <c r="J37" s="54">
        <f>SUM(J38:J38)</f>
        <v>1481448</v>
      </c>
      <c r="K37" s="600"/>
      <c r="L37" s="600"/>
      <c r="M37" s="600"/>
      <c r="N37" s="600"/>
      <c r="O37" s="600"/>
      <c r="P37" s="600"/>
      <c r="Q37" s="600"/>
      <c r="R37" s="600"/>
      <c r="S37" s="600"/>
      <c r="T37" s="600"/>
      <c r="U37" s="600"/>
      <c r="V37" s="600"/>
      <c r="W37" s="600"/>
      <c r="X37" s="600"/>
      <c r="Y37" s="600"/>
      <c r="Z37" s="600"/>
      <c r="AA37" s="600"/>
    </row>
    <row r="38" spans="1:27" x14ac:dyDescent="0.25">
      <c r="A38" s="396"/>
      <c r="B38" s="731"/>
      <c r="C38" s="670" t="s">
        <v>306</v>
      </c>
      <c r="D38" s="349" t="s">
        <v>1103</v>
      </c>
      <c r="E38" s="255" t="str">
        <f>" - " &amp; 'Giá NC'!E6</f>
        <v xml:space="preserve"> - Nhân công bậc 3,0/7 - Nhóm 2</v>
      </c>
      <c r="F38" s="731" t="str">
        <f>'Giá NC'!F6</f>
        <v>công</v>
      </c>
      <c r="G38" s="189">
        <f>PTVT!G46</f>
        <v>6</v>
      </c>
      <c r="H38" s="843">
        <f>'Giá NC'!K6</f>
        <v>246908</v>
      </c>
      <c r="I38" s="282">
        <f>'Tiên lượng'!W18</f>
        <v>1</v>
      </c>
      <c r="J38" s="843">
        <f>PRODUCT(G38,H38,I38)</f>
        <v>1481448</v>
      </c>
      <c r="K38" s="600"/>
      <c r="L38" s="600"/>
      <c r="M38" s="600"/>
      <c r="N38" s="600"/>
      <c r="O38" s="600"/>
      <c r="P38" s="600"/>
      <c r="Q38" s="600"/>
      <c r="R38" s="600"/>
      <c r="S38" s="600"/>
      <c r="T38" s="600"/>
      <c r="U38" s="600"/>
      <c r="V38" s="600"/>
      <c r="W38" s="600"/>
      <c r="X38" s="600"/>
      <c r="Y38" s="600"/>
      <c r="Z38" s="600"/>
      <c r="AA38" s="600"/>
    </row>
    <row r="39" spans="1:27" x14ac:dyDescent="0.25">
      <c r="A39" s="607"/>
      <c r="B39" s="455"/>
      <c r="C39" s="762" t="s">
        <v>306</v>
      </c>
      <c r="D39" s="762" t="s">
        <v>306</v>
      </c>
      <c r="E39" s="882" t="s">
        <v>556</v>
      </c>
      <c r="F39" s="455" t="s">
        <v>539</v>
      </c>
      <c r="G39" s="687"/>
      <c r="H39" s="54"/>
      <c r="I39" s="3"/>
      <c r="J39" s="54">
        <f>SUM(J40:J42)</f>
        <v>544003.88699999999</v>
      </c>
      <c r="K39" s="600"/>
      <c r="L39" s="600"/>
      <c r="M39" s="600"/>
      <c r="N39" s="600"/>
      <c r="O39" s="600"/>
      <c r="P39" s="600"/>
      <c r="Q39" s="600"/>
      <c r="R39" s="600"/>
      <c r="S39" s="600"/>
      <c r="T39" s="600"/>
      <c r="U39" s="600"/>
      <c r="V39" s="600"/>
      <c r="W39" s="600"/>
      <c r="X39" s="600"/>
      <c r="Y39" s="600"/>
      <c r="Z39" s="600"/>
      <c r="AA39" s="600"/>
    </row>
    <row r="40" spans="1:27" x14ac:dyDescent="0.25">
      <c r="A40" s="396"/>
      <c r="B40" s="731"/>
      <c r="C40" s="670" t="s">
        <v>306</v>
      </c>
      <c r="D40" s="349" t="s">
        <v>402</v>
      </c>
      <c r="E40" s="255" t="str">
        <f>" - " &amp; 'Giá Máy'!E14</f>
        <v xml:space="preserve"> - Máy lu bánh thép 10T</v>
      </c>
      <c r="F40" s="731" t="str">
        <f>'Giá Máy'!F14</f>
        <v>ca</v>
      </c>
      <c r="G40" s="189">
        <f>PTVT!G48</f>
        <v>0.26</v>
      </c>
      <c r="H40" s="843">
        <f>'Giá Máy'!O14</f>
        <v>1151395</v>
      </c>
      <c r="I40" s="282">
        <f>'Tiên lượng'!X18</f>
        <v>1</v>
      </c>
      <c r="J40" s="843">
        <f t="shared" ref="J40:J42" si="1">PRODUCT(G40,H40,I40)</f>
        <v>299362.7</v>
      </c>
      <c r="K40" s="600"/>
      <c r="L40" s="600"/>
      <c r="M40" s="600"/>
      <c r="N40" s="600"/>
      <c r="O40" s="600"/>
      <c r="P40" s="600"/>
      <c r="Q40" s="600"/>
      <c r="R40" s="600"/>
      <c r="S40" s="600"/>
      <c r="T40" s="600"/>
      <c r="U40" s="600"/>
      <c r="V40" s="600"/>
      <c r="W40" s="600"/>
      <c r="X40" s="600"/>
      <c r="Y40" s="600"/>
      <c r="Z40" s="600"/>
      <c r="AA40" s="600"/>
    </row>
    <row r="41" spans="1:27" x14ac:dyDescent="0.25">
      <c r="A41" s="396"/>
      <c r="B41" s="731"/>
      <c r="C41" s="670" t="s">
        <v>306</v>
      </c>
      <c r="D41" s="349" t="s">
        <v>1073</v>
      </c>
      <c r="E41" s="255" t="str">
        <f>" - " &amp; 'Giá Máy'!E19</f>
        <v xml:space="preserve"> - Ô tô tưới nước 5m3</v>
      </c>
      <c r="F41" s="731" t="str">
        <f>'Giá Máy'!F19</f>
        <v>ca</v>
      </c>
      <c r="G41" s="189">
        <f>PTVT!G49</f>
        <v>0.21</v>
      </c>
      <c r="H41" s="843">
        <f>'Giá Máy'!O19</f>
        <v>1152070</v>
      </c>
      <c r="I41" s="282">
        <f>'Tiên lượng'!X18</f>
        <v>1</v>
      </c>
      <c r="J41" s="843">
        <f t="shared" si="1"/>
        <v>241934.69999999998</v>
      </c>
      <c r="K41" s="600"/>
      <c r="L41" s="600"/>
      <c r="M41" s="600"/>
      <c r="N41" s="600"/>
      <c r="O41" s="600"/>
      <c r="P41" s="600"/>
      <c r="Q41" s="600"/>
      <c r="R41" s="600"/>
      <c r="S41" s="600"/>
      <c r="T41" s="600"/>
      <c r="U41" s="600"/>
      <c r="V41" s="600"/>
      <c r="W41" s="600"/>
      <c r="X41" s="600"/>
      <c r="Y41" s="600"/>
      <c r="Z41" s="600"/>
      <c r="AA41" s="600"/>
    </row>
    <row r="42" spans="1:27" x14ac:dyDescent="0.25">
      <c r="A42" s="419"/>
      <c r="B42" s="377"/>
      <c r="C42" s="682" t="s">
        <v>306</v>
      </c>
      <c r="D42" s="884" t="s">
        <v>760</v>
      </c>
      <c r="E42" s="798" t="s">
        <v>830</v>
      </c>
      <c r="F42" s="377" t="s">
        <v>1086</v>
      </c>
      <c r="G42" s="208">
        <f>PTVT!G50</f>
        <v>0.5</v>
      </c>
      <c r="H42" s="862">
        <f>(G40*H40+G41*H41)/100</f>
        <v>5412.9740000000002</v>
      </c>
      <c r="I42" s="824">
        <f>'Tiên lượng'!X18</f>
        <v>1</v>
      </c>
      <c r="J42" s="862">
        <f t="shared" si="1"/>
        <v>2706.4870000000001</v>
      </c>
      <c r="K42" s="600"/>
      <c r="L42" s="600"/>
      <c r="M42" s="600"/>
      <c r="N42" s="600"/>
      <c r="O42" s="600"/>
      <c r="P42" s="600"/>
      <c r="Q42" s="600"/>
      <c r="R42" s="600"/>
      <c r="S42" s="600"/>
      <c r="T42" s="600"/>
      <c r="U42" s="600"/>
      <c r="V42" s="600"/>
      <c r="W42" s="600"/>
      <c r="X42" s="600"/>
      <c r="Y42" s="600"/>
      <c r="Z42" s="600"/>
      <c r="AA42" s="600"/>
    </row>
    <row r="43" spans="1:27" x14ac:dyDescent="0.25">
      <c r="A43" s="477"/>
      <c r="B43" s="250">
        <v>9</v>
      </c>
      <c r="C43" s="190" t="str">
        <f>'Tiên lượng'!C20</f>
        <v>AD.11222.VD</v>
      </c>
      <c r="D43" s="190" t="str">
        <f>'Tiên lượng'!C20</f>
        <v>AD.11222.VD</v>
      </c>
      <c r="E43" s="690" t="str">
        <f>'Tiên lượng'!D20</f>
        <v>Thi công lớp đệm móng bằng đá mạt. chiều dài 150m</v>
      </c>
      <c r="F43" s="250" t="str">
        <f>'Tiên lượng'!E20</f>
        <v>100m3</v>
      </c>
      <c r="G43" s="83"/>
      <c r="H43" s="21"/>
      <c r="I43" s="371"/>
      <c r="J43" s="185">
        <f>J44+J46</f>
        <v>54362346.215591997</v>
      </c>
      <c r="K43" s="600"/>
      <c r="L43" s="600"/>
      <c r="M43" s="600"/>
      <c r="N43" s="600"/>
      <c r="O43" s="600"/>
      <c r="P43" s="600"/>
      <c r="Q43" s="600"/>
      <c r="R43" s="600"/>
      <c r="S43" s="600"/>
      <c r="T43" s="600"/>
      <c r="U43" s="600"/>
      <c r="V43" s="600"/>
      <c r="W43" s="600"/>
      <c r="X43" s="600"/>
      <c r="Y43" s="600"/>
      <c r="Z43" s="600"/>
      <c r="AA43" s="600"/>
    </row>
    <row r="44" spans="1:27" x14ac:dyDescent="0.25">
      <c r="A44" s="607"/>
      <c r="B44" s="455"/>
      <c r="C44" s="762" t="s">
        <v>306</v>
      </c>
      <c r="D44" s="762" t="s">
        <v>306</v>
      </c>
      <c r="E44" s="882" t="s">
        <v>1372</v>
      </c>
      <c r="F44" s="455" t="s">
        <v>479</v>
      </c>
      <c r="G44" s="687"/>
      <c r="H44" s="54"/>
      <c r="I44" s="3"/>
      <c r="J44" s="54">
        <f>SUM(J45:J45)</f>
        <v>53127806.215591997</v>
      </c>
      <c r="K44" s="600"/>
      <c r="L44" s="600"/>
      <c r="M44" s="600"/>
      <c r="N44" s="600"/>
      <c r="O44" s="600"/>
      <c r="P44" s="600"/>
      <c r="Q44" s="600"/>
      <c r="R44" s="600"/>
      <c r="S44" s="600"/>
      <c r="T44" s="600"/>
      <c r="U44" s="600"/>
      <c r="V44" s="600"/>
      <c r="W44" s="600"/>
      <c r="X44" s="600"/>
      <c r="Y44" s="600"/>
      <c r="Z44" s="600"/>
      <c r="AA44" s="600"/>
    </row>
    <row r="45" spans="1:27" x14ac:dyDescent="0.25">
      <c r="A45" s="396"/>
      <c r="B45" s="731"/>
      <c r="C45" s="670" t="s">
        <v>306</v>
      </c>
      <c r="D45" s="349" t="s">
        <v>1290</v>
      </c>
      <c r="E45" s="255" t="str">
        <f>" - " &amp; 'Giá VL'!E7</f>
        <v xml:space="preserve"> - Đá mạt</v>
      </c>
      <c r="F45" s="731" t="str">
        <f>'Giá VL'!F7</f>
        <v>m3</v>
      </c>
      <c r="G45" s="189">
        <f>PTVT!G53</f>
        <v>134</v>
      </c>
      <c r="H45" s="843">
        <f>'Giá VL'!V7</f>
        <v>396476.16578799998</v>
      </c>
      <c r="I45" s="282">
        <f>'Tiên lượng'!V20</f>
        <v>1</v>
      </c>
      <c r="J45" s="843">
        <f>PRODUCT(G45,H45,I45)</f>
        <v>53127806.215591997</v>
      </c>
      <c r="K45" s="600"/>
      <c r="L45" s="600"/>
      <c r="M45" s="600"/>
      <c r="N45" s="600"/>
      <c r="O45" s="600"/>
      <c r="P45" s="600"/>
      <c r="Q45" s="600"/>
      <c r="R45" s="600"/>
      <c r="S45" s="600"/>
      <c r="T45" s="600"/>
      <c r="U45" s="600"/>
      <c r="V45" s="600"/>
      <c r="W45" s="600"/>
      <c r="X45" s="600"/>
      <c r="Y45" s="600"/>
      <c r="Z45" s="600"/>
      <c r="AA45" s="600"/>
    </row>
    <row r="46" spans="1:27" x14ac:dyDescent="0.25">
      <c r="A46" s="607"/>
      <c r="B46" s="455"/>
      <c r="C46" s="762" t="s">
        <v>306</v>
      </c>
      <c r="D46" s="762" t="s">
        <v>306</v>
      </c>
      <c r="E46" s="882" t="s">
        <v>890</v>
      </c>
      <c r="F46" s="455" t="s">
        <v>125</v>
      </c>
      <c r="G46" s="687"/>
      <c r="H46" s="54"/>
      <c r="I46" s="3"/>
      <c r="J46" s="54">
        <f>SUM(J47:J47)</f>
        <v>1234540</v>
      </c>
      <c r="K46" s="600"/>
      <c r="L46" s="600"/>
      <c r="M46" s="600"/>
      <c r="N46" s="600"/>
      <c r="O46" s="600"/>
      <c r="P46" s="600"/>
      <c r="Q46" s="600"/>
      <c r="R46" s="600"/>
      <c r="S46" s="600"/>
      <c r="T46" s="600"/>
      <c r="U46" s="600"/>
      <c r="V46" s="600"/>
      <c r="W46" s="600"/>
      <c r="X46" s="600"/>
      <c r="Y46" s="600"/>
      <c r="Z46" s="600"/>
      <c r="AA46" s="600"/>
    </row>
    <row r="47" spans="1:27" x14ac:dyDescent="0.25">
      <c r="A47" s="419"/>
      <c r="B47" s="377"/>
      <c r="C47" s="682" t="s">
        <v>306</v>
      </c>
      <c r="D47" s="884" t="s">
        <v>1103</v>
      </c>
      <c r="E47" s="798" t="str">
        <f>" - " &amp; 'Giá NC'!E6</f>
        <v xml:space="preserve"> - Nhân công bậc 3,0/7 - Nhóm 2</v>
      </c>
      <c r="F47" s="377" t="str">
        <f>'Giá NC'!F6</f>
        <v>công</v>
      </c>
      <c r="G47" s="208">
        <f>PTVT!G55</f>
        <v>5</v>
      </c>
      <c r="H47" s="862">
        <f>'Giá NC'!K6</f>
        <v>246908</v>
      </c>
      <c r="I47" s="824">
        <f>'Tiên lượng'!W20</f>
        <v>1</v>
      </c>
      <c r="J47" s="862">
        <f>PRODUCT(G47,H47,I47)</f>
        <v>1234540</v>
      </c>
      <c r="K47" s="600"/>
      <c r="L47" s="600"/>
      <c r="M47" s="600"/>
      <c r="N47" s="600"/>
      <c r="O47" s="600"/>
      <c r="P47" s="600"/>
      <c r="Q47" s="600"/>
      <c r="R47" s="600"/>
      <c r="S47" s="600"/>
      <c r="T47" s="600"/>
      <c r="U47" s="600"/>
      <c r="V47" s="600"/>
      <c r="W47" s="600"/>
      <c r="X47" s="600"/>
      <c r="Y47" s="600"/>
      <c r="Z47" s="600"/>
      <c r="AA47" s="600"/>
    </row>
    <row r="48" spans="1:27" x14ac:dyDescent="0.25">
      <c r="A48" s="477"/>
      <c r="B48" s="250">
        <v>10</v>
      </c>
      <c r="C48" s="190" t="str">
        <f>'Tiên lượng'!C22</f>
        <v>TT.00001</v>
      </c>
      <c r="D48" s="190" t="str">
        <f>'Tiên lượng'!C22</f>
        <v>TT.00001</v>
      </c>
      <c r="E48" s="690" t="str">
        <f>'Tiên lượng'!D22</f>
        <v xml:space="preserve">San gạt tạo phẳng nền đường bằng máy San </v>
      </c>
      <c r="F48" s="250" t="str">
        <f>'Tiên lượng'!E22</f>
        <v>ca</v>
      </c>
      <c r="G48" s="83"/>
      <c r="H48" s="21"/>
      <c r="I48" s="371"/>
      <c r="J48" s="185">
        <f>J49</f>
        <v>5000000</v>
      </c>
      <c r="K48" s="600"/>
      <c r="L48" s="600"/>
      <c r="M48" s="600"/>
      <c r="N48" s="600"/>
      <c r="O48" s="600"/>
      <c r="P48" s="600"/>
      <c r="Q48" s="600"/>
      <c r="R48" s="600"/>
      <c r="S48" s="600"/>
      <c r="T48" s="600"/>
      <c r="U48" s="600"/>
      <c r="V48" s="600"/>
      <c r="W48" s="600"/>
      <c r="X48" s="600"/>
      <c r="Y48" s="600"/>
      <c r="Z48" s="600"/>
      <c r="AA48" s="600"/>
    </row>
    <row r="49" spans="1:27" x14ac:dyDescent="0.25">
      <c r="A49" s="607"/>
      <c r="B49" s="455"/>
      <c r="C49" s="762" t="s">
        <v>306</v>
      </c>
      <c r="D49" s="762" t="s">
        <v>306</v>
      </c>
      <c r="E49" s="882" t="s">
        <v>556</v>
      </c>
      <c r="F49" s="455" t="s">
        <v>539</v>
      </c>
      <c r="G49" s="687"/>
      <c r="H49" s="54"/>
      <c r="I49" s="3"/>
      <c r="J49" s="54">
        <f>SUM(J50:J50)</f>
        <v>5000000</v>
      </c>
      <c r="K49" s="600"/>
      <c r="L49" s="600"/>
      <c r="M49" s="600"/>
      <c r="N49" s="600"/>
      <c r="O49" s="600"/>
      <c r="P49" s="600"/>
      <c r="Q49" s="600"/>
      <c r="R49" s="600"/>
      <c r="S49" s="600"/>
      <c r="T49" s="600"/>
      <c r="U49" s="600"/>
      <c r="V49" s="600"/>
      <c r="W49" s="600"/>
      <c r="X49" s="600"/>
      <c r="Y49" s="600"/>
      <c r="Z49" s="600"/>
      <c r="AA49" s="600"/>
    </row>
    <row r="50" spans="1:27" x14ac:dyDescent="0.25">
      <c r="A50" s="419"/>
      <c r="B50" s="377"/>
      <c r="C50" s="682" t="s">
        <v>306</v>
      </c>
      <c r="D50" s="884" t="s">
        <v>306</v>
      </c>
      <c r="E50" s="798" t="s">
        <v>1228</v>
      </c>
      <c r="F50" s="377" t="s">
        <v>1272</v>
      </c>
      <c r="G50" s="208">
        <f>PTVT!G62</f>
        <v>1</v>
      </c>
      <c r="H50" s="862">
        <f>'Tiên lượng'!Q22</f>
        <v>5000000</v>
      </c>
      <c r="I50" s="824">
        <f>'Tiên lượng'!X22</f>
        <v>1</v>
      </c>
      <c r="J50" s="862">
        <f>PRODUCT(G50,H50,I50)</f>
        <v>5000000</v>
      </c>
      <c r="K50" s="600"/>
      <c r="L50" s="600"/>
      <c r="M50" s="600"/>
      <c r="N50" s="600"/>
      <c r="O50" s="600"/>
      <c r="P50" s="600"/>
      <c r="Q50" s="600"/>
      <c r="R50" s="600"/>
      <c r="S50" s="600"/>
      <c r="T50" s="600"/>
      <c r="U50" s="600"/>
      <c r="V50" s="600"/>
      <c r="W50" s="600"/>
      <c r="X50" s="600"/>
      <c r="Y50" s="600"/>
      <c r="Z50" s="600"/>
      <c r="AA50" s="600"/>
    </row>
    <row r="51" spans="1:27" x14ac:dyDescent="0.25">
      <c r="A51" s="477"/>
      <c r="B51" s="250">
        <v>11</v>
      </c>
      <c r="C51" s="190" t="str">
        <f>'Tiên lượng'!C23</f>
        <v>TT</v>
      </c>
      <c r="D51" s="190" t="str">
        <f>'Tiên lượng'!C23</f>
        <v>TT</v>
      </c>
      <c r="E51" s="690" t="str">
        <f>'Tiên lượng'!D23</f>
        <v>Công tác đào rãnh, hố ga để đặt cống thoát nước đầu tuyến bằng thủ công</v>
      </c>
      <c r="F51" s="250" t="str">
        <f>'Tiên lượng'!E23</f>
        <v>công</v>
      </c>
      <c r="G51" s="83"/>
      <c r="H51" s="21"/>
      <c r="I51" s="371"/>
      <c r="J51" s="185">
        <f>J52</f>
        <v>450000</v>
      </c>
      <c r="K51" s="600"/>
      <c r="L51" s="600"/>
      <c r="M51" s="600"/>
      <c r="N51" s="600"/>
      <c r="O51" s="600"/>
      <c r="P51" s="600"/>
      <c r="Q51" s="600"/>
      <c r="R51" s="600"/>
      <c r="S51" s="600"/>
      <c r="T51" s="600"/>
      <c r="U51" s="600"/>
      <c r="V51" s="600"/>
      <c r="W51" s="600"/>
      <c r="X51" s="600"/>
      <c r="Y51" s="600"/>
      <c r="Z51" s="600"/>
      <c r="AA51" s="600"/>
    </row>
    <row r="52" spans="1:27" x14ac:dyDescent="0.25">
      <c r="A52" s="607"/>
      <c r="B52" s="455"/>
      <c r="C52" s="762" t="s">
        <v>306</v>
      </c>
      <c r="D52" s="762" t="s">
        <v>306</v>
      </c>
      <c r="E52" s="882" t="s">
        <v>890</v>
      </c>
      <c r="F52" s="455" t="s">
        <v>125</v>
      </c>
      <c r="G52" s="687"/>
      <c r="H52" s="54"/>
      <c r="I52" s="3"/>
      <c r="J52" s="54">
        <f>SUM(J53:J53)</f>
        <v>450000</v>
      </c>
      <c r="K52" s="600"/>
      <c r="L52" s="600"/>
      <c r="M52" s="600"/>
      <c r="N52" s="600"/>
      <c r="O52" s="600"/>
      <c r="P52" s="600"/>
      <c r="Q52" s="600"/>
      <c r="R52" s="600"/>
      <c r="S52" s="600"/>
      <c r="T52" s="600"/>
      <c r="U52" s="600"/>
      <c r="V52" s="600"/>
      <c r="W52" s="600"/>
      <c r="X52" s="600"/>
      <c r="Y52" s="600"/>
      <c r="Z52" s="600"/>
      <c r="AA52" s="600"/>
    </row>
    <row r="53" spans="1:27" x14ac:dyDescent="0.25">
      <c r="A53" s="419"/>
      <c r="B53" s="377"/>
      <c r="C53" s="682" t="s">
        <v>306</v>
      </c>
      <c r="D53" s="884" t="s">
        <v>306</v>
      </c>
      <c r="E53" s="798" t="s">
        <v>663</v>
      </c>
      <c r="F53" s="377" t="s">
        <v>239</v>
      </c>
      <c r="G53" s="208">
        <f>PTVT!G67</f>
        <v>1</v>
      </c>
      <c r="H53" s="862">
        <f>'Tiên lượng'!P23</f>
        <v>450000</v>
      </c>
      <c r="I53" s="824">
        <f>'Tiên lượng'!W23</f>
        <v>1</v>
      </c>
      <c r="J53" s="862">
        <f>PRODUCT(G53,H53,I53)</f>
        <v>450000</v>
      </c>
      <c r="K53" s="600"/>
      <c r="L53" s="600"/>
      <c r="M53" s="600"/>
      <c r="N53" s="600"/>
      <c r="O53" s="600"/>
      <c r="P53" s="600"/>
      <c r="Q53" s="600"/>
      <c r="R53" s="600"/>
      <c r="S53" s="600"/>
      <c r="T53" s="600"/>
      <c r="U53" s="600"/>
      <c r="V53" s="600"/>
      <c r="W53" s="600"/>
      <c r="X53" s="600"/>
      <c r="Y53" s="600"/>
      <c r="Z53" s="600"/>
      <c r="AA53" s="600"/>
    </row>
    <row r="54" spans="1:27" x14ac:dyDescent="0.25">
      <c r="A54" s="477"/>
      <c r="B54" s="250">
        <v>12</v>
      </c>
      <c r="C54" s="190" t="str">
        <f>'Tiên lượng'!C24</f>
        <v>BB.11211</v>
      </c>
      <c r="D54" s="190" t="str">
        <f>'Tiên lượng'!C24</f>
        <v>BB.11211</v>
      </c>
      <c r="E54" s="690" t="str">
        <f>'Tiên lượng'!D24</f>
        <v>Lắp đặt ống bê tông bằng cần cẩu, đoạn ống dài 1m - Đường kính ≤600mm</v>
      </c>
      <c r="F54" s="250" t="str">
        <f>'Tiên lượng'!E24</f>
        <v>1 đoạn ống</v>
      </c>
      <c r="G54" s="83"/>
      <c r="H54" s="21"/>
      <c r="I54" s="371"/>
      <c r="J54" s="185">
        <f>J55+J58+J60</f>
        <v>1184062.4657999999</v>
      </c>
      <c r="K54" s="600"/>
      <c r="L54" s="600"/>
      <c r="M54" s="600"/>
      <c r="N54" s="600"/>
      <c r="O54" s="600"/>
      <c r="P54" s="600"/>
      <c r="Q54" s="600"/>
      <c r="R54" s="600"/>
      <c r="S54" s="600"/>
      <c r="T54" s="600"/>
      <c r="U54" s="600"/>
      <c r="V54" s="600"/>
      <c r="W54" s="600"/>
      <c r="X54" s="600"/>
      <c r="Y54" s="600"/>
      <c r="Z54" s="600"/>
      <c r="AA54" s="600"/>
    </row>
    <row r="55" spans="1:27" x14ac:dyDescent="0.25">
      <c r="A55" s="607"/>
      <c r="B55" s="455"/>
      <c r="C55" s="762" t="s">
        <v>306</v>
      </c>
      <c r="D55" s="762" t="s">
        <v>306</v>
      </c>
      <c r="E55" s="882" t="s">
        <v>1372</v>
      </c>
      <c r="F55" s="455" t="s">
        <v>479</v>
      </c>
      <c r="G55" s="687"/>
      <c r="H55" s="54"/>
      <c r="I55" s="3"/>
      <c r="J55" s="54">
        <f>SUM(J56:J57)</f>
        <v>1050525</v>
      </c>
      <c r="K55" s="600"/>
      <c r="L55" s="600"/>
      <c r="M55" s="600"/>
      <c r="N55" s="600"/>
      <c r="O55" s="600"/>
      <c r="P55" s="600"/>
      <c r="Q55" s="600"/>
      <c r="R55" s="600"/>
      <c r="S55" s="600"/>
      <c r="T55" s="600"/>
      <c r="U55" s="600"/>
      <c r="V55" s="600"/>
      <c r="W55" s="600"/>
      <c r="X55" s="600"/>
      <c r="Y55" s="600"/>
      <c r="Z55" s="600"/>
      <c r="AA55" s="600"/>
    </row>
    <row r="56" spans="1:27" x14ac:dyDescent="0.25">
      <c r="A56" s="396"/>
      <c r="B56" s="731"/>
      <c r="C56" s="670" t="s">
        <v>306</v>
      </c>
      <c r="D56" s="349" t="s">
        <v>258</v>
      </c>
      <c r="E56" s="255" t="str">
        <f>" - " &amp; 'Giá VL'!E5</f>
        <v xml:space="preserve"> - Ống bê tông D ≤600mm, L=1m</v>
      </c>
      <c r="F56" s="731" t="str">
        <f>'Giá VL'!F5</f>
        <v>đoạn</v>
      </c>
      <c r="G56" s="189">
        <f>PTVT!G72</f>
        <v>1</v>
      </c>
      <c r="H56" s="843">
        <f>'Giá VL'!V5</f>
        <v>1050000</v>
      </c>
      <c r="I56" s="282">
        <f>'Tiên lượng'!V24</f>
        <v>1</v>
      </c>
      <c r="J56" s="843">
        <f t="shared" ref="J56:J57" si="2">PRODUCT(G56,H56,I56)</f>
        <v>1050000</v>
      </c>
      <c r="K56" s="600"/>
      <c r="L56" s="600"/>
      <c r="M56" s="600"/>
      <c r="N56" s="600"/>
      <c r="O56" s="600"/>
      <c r="P56" s="600"/>
      <c r="Q56" s="600"/>
      <c r="R56" s="600"/>
      <c r="S56" s="600"/>
      <c r="T56" s="600"/>
      <c r="U56" s="600"/>
      <c r="V56" s="600"/>
      <c r="W56" s="600"/>
      <c r="X56" s="600"/>
      <c r="Y56" s="600"/>
      <c r="Z56" s="600"/>
      <c r="AA56" s="600"/>
    </row>
    <row r="57" spans="1:27" x14ac:dyDescent="0.25">
      <c r="A57" s="396"/>
      <c r="B57" s="731"/>
      <c r="C57" s="670" t="s">
        <v>306</v>
      </c>
      <c r="D57" s="349" t="s">
        <v>429</v>
      </c>
      <c r="E57" s="255" t="s">
        <v>506</v>
      </c>
      <c r="F57" s="731" t="s">
        <v>1086</v>
      </c>
      <c r="G57" s="189">
        <f>PTVT!G73</f>
        <v>0.05</v>
      </c>
      <c r="H57" s="843">
        <f>(G56*H56)/100</f>
        <v>10500</v>
      </c>
      <c r="I57" s="282">
        <f>'Tiên lượng'!V24</f>
        <v>1</v>
      </c>
      <c r="J57" s="843">
        <f t="shared" si="2"/>
        <v>525</v>
      </c>
      <c r="K57" s="600"/>
      <c r="L57" s="600"/>
      <c r="M57" s="600"/>
      <c r="N57" s="600"/>
      <c r="O57" s="600"/>
      <c r="P57" s="600"/>
      <c r="Q57" s="600"/>
      <c r="R57" s="600"/>
      <c r="S57" s="600"/>
      <c r="T57" s="600"/>
      <c r="U57" s="600"/>
      <c r="V57" s="600"/>
      <c r="W57" s="600"/>
      <c r="X57" s="600"/>
      <c r="Y57" s="600"/>
      <c r="Z57" s="600"/>
      <c r="AA57" s="600"/>
    </row>
    <row r="58" spans="1:27" x14ac:dyDescent="0.25">
      <c r="A58" s="607"/>
      <c r="B58" s="455"/>
      <c r="C58" s="762" t="s">
        <v>306</v>
      </c>
      <c r="D58" s="762" t="s">
        <v>306</v>
      </c>
      <c r="E58" s="882" t="s">
        <v>890</v>
      </c>
      <c r="F58" s="455" t="s">
        <v>125</v>
      </c>
      <c r="G58" s="687"/>
      <c r="H58" s="54"/>
      <c r="I58" s="3"/>
      <c r="J58" s="54">
        <f>SUM(J59:J59)</f>
        <v>70200</v>
      </c>
      <c r="K58" s="600"/>
      <c r="L58" s="600"/>
      <c r="M58" s="600"/>
      <c r="N58" s="600"/>
      <c r="O58" s="600"/>
      <c r="P58" s="600"/>
      <c r="Q58" s="600"/>
      <c r="R58" s="600"/>
      <c r="S58" s="600"/>
      <c r="T58" s="600"/>
      <c r="U58" s="600"/>
      <c r="V58" s="600"/>
      <c r="W58" s="600"/>
      <c r="X58" s="600"/>
      <c r="Y58" s="600"/>
      <c r="Z58" s="600"/>
      <c r="AA58" s="600"/>
    </row>
    <row r="59" spans="1:27" x14ac:dyDescent="0.25">
      <c r="A59" s="396"/>
      <c r="B59" s="731"/>
      <c r="C59" s="670" t="s">
        <v>306</v>
      </c>
      <c r="D59" s="349" t="s">
        <v>1055</v>
      </c>
      <c r="E59" s="255" t="str">
        <f>" - " &amp; 'Giá NC'!E7</f>
        <v xml:space="preserve"> - Nhân công bậc 3,5/7 - Nhóm 2</v>
      </c>
      <c r="F59" s="731" t="str">
        <f>'Giá NC'!F7</f>
        <v>công</v>
      </c>
      <c r="G59" s="189">
        <f>PTVT!G75</f>
        <v>0.26</v>
      </c>
      <c r="H59" s="843">
        <f>'Giá NC'!K7</f>
        <v>270000</v>
      </c>
      <c r="I59" s="282">
        <f>'Tiên lượng'!W24</f>
        <v>1</v>
      </c>
      <c r="J59" s="843">
        <f>PRODUCT(G59,H59,I59)</f>
        <v>70200</v>
      </c>
      <c r="K59" s="600"/>
      <c r="L59" s="600"/>
      <c r="M59" s="600"/>
      <c r="N59" s="600"/>
      <c r="O59" s="600"/>
      <c r="P59" s="600"/>
      <c r="Q59" s="600"/>
      <c r="R59" s="600"/>
      <c r="S59" s="600"/>
      <c r="T59" s="600"/>
      <c r="U59" s="600"/>
      <c r="V59" s="600"/>
      <c r="W59" s="600"/>
      <c r="X59" s="600"/>
      <c r="Y59" s="600"/>
      <c r="Z59" s="600"/>
      <c r="AA59" s="600"/>
    </row>
    <row r="60" spans="1:27" x14ac:dyDescent="0.25">
      <c r="A60" s="607"/>
      <c r="B60" s="455"/>
      <c r="C60" s="762" t="s">
        <v>306</v>
      </c>
      <c r="D60" s="762" t="s">
        <v>306</v>
      </c>
      <c r="E60" s="882" t="s">
        <v>556</v>
      </c>
      <c r="F60" s="455" t="s">
        <v>539</v>
      </c>
      <c r="G60" s="687"/>
      <c r="H60" s="54"/>
      <c r="I60" s="3"/>
      <c r="J60" s="54">
        <f>SUM(J61:J62)</f>
        <v>63337.465799999998</v>
      </c>
      <c r="K60" s="600"/>
      <c r="L60" s="600"/>
      <c r="M60" s="600"/>
      <c r="N60" s="600"/>
      <c r="O60" s="600"/>
      <c r="P60" s="600"/>
      <c r="Q60" s="600"/>
      <c r="R60" s="600"/>
      <c r="S60" s="600"/>
      <c r="T60" s="600"/>
      <c r="U60" s="600"/>
      <c r="V60" s="600"/>
      <c r="W60" s="600"/>
      <c r="X60" s="600"/>
      <c r="Y60" s="600"/>
      <c r="Z60" s="600"/>
      <c r="AA60" s="600"/>
    </row>
    <row r="61" spans="1:27" x14ac:dyDescent="0.25">
      <c r="A61" s="396"/>
      <c r="B61" s="731"/>
      <c r="C61" s="670" t="s">
        <v>306</v>
      </c>
      <c r="D61" s="349" t="s">
        <v>701</v>
      </c>
      <c r="E61" s="255" t="str">
        <f>" - " &amp; 'Giá Máy'!E6</f>
        <v xml:space="preserve"> - Cần cẩu bánh hơi 6T</v>
      </c>
      <c r="F61" s="731" t="str">
        <f>'Giá Máy'!F6</f>
        <v>ca</v>
      </c>
      <c r="G61" s="189">
        <f>PTVT!G77</f>
        <v>3.6999999999999998E-2</v>
      </c>
      <c r="H61" s="843">
        <f>'Giá Máy'!O6</f>
        <v>1630308</v>
      </c>
      <c r="I61" s="282">
        <f>'Tiên lượng'!X24</f>
        <v>1</v>
      </c>
      <c r="J61" s="843">
        <f t="shared" ref="J61:J62" si="3">PRODUCT(G61,H61,I61)</f>
        <v>60321.396000000001</v>
      </c>
      <c r="K61" s="600"/>
      <c r="L61" s="600"/>
      <c r="M61" s="600"/>
      <c r="N61" s="600"/>
      <c r="O61" s="600"/>
      <c r="P61" s="600"/>
      <c r="Q61" s="600"/>
      <c r="R61" s="600"/>
      <c r="S61" s="600"/>
      <c r="T61" s="600"/>
      <c r="U61" s="600"/>
      <c r="V61" s="600"/>
      <c r="W61" s="600"/>
      <c r="X61" s="600"/>
      <c r="Y61" s="600"/>
      <c r="Z61" s="600"/>
      <c r="AA61" s="600"/>
    </row>
    <row r="62" spans="1:27" x14ac:dyDescent="0.25">
      <c r="A62" s="419"/>
      <c r="B62" s="377"/>
      <c r="C62" s="682" t="s">
        <v>306</v>
      </c>
      <c r="D62" s="884" t="s">
        <v>760</v>
      </c>
      <c r="E62" s="798" t="s">
        <v>830</v>
      </c>
      <c r="F62" s="377" t="s">
        <v>1086</v>
      </c>
      <c r="G62" s="208">
        <f>PTVT!G78</f>
        <v>5</v>
      </c>
      <c r="H62" s="862">
        <f>(G61*H61)/100</f>
        <v>603.21396000000004</v>
      </c>
      <c r="I62" s="824">
        <f>'Tiên lượng'!X24</f>
        <v>1</v>
      </c>
      <c r="J62" s="862">
        <f t="shared" si="3"/>
        <v>3016.0698000000002</v>
      </c>
      <c r="K62" s="600"/>
      <c r="L62" s="600"/>
      <c r="M62" s="600"/>
      <c r="N62" s="600"/>
      <c r="O62" s="600"/>
      <c r="P62" s="600"/>
      <c r="Q62" s="600"/>
      <c r="R62" s="600"/>
      <c r="S62" s="600"/>
      <c r="T62" s="600"/>
      <c r="U62" s="600"/>
      <c r="V62" s="600"/>
      <c r="W62" s="600"/>
      <c r="X62" s="600"/>
      <c r="Y62" s="600"/>
      <c r="Z62" s="600"/>
      <c r="AA62" s="600"/>
    </row>
    <row r="63" spans="1:27" x14ac:dyDescent="0.25">
      <c r="A63" s="477"/>
      <c r="B63" s="250">
        <v>13</v>
      </c>
      <c r="C63" s="190" t="str">
        <f>'Tiên lượng'!C25</f>
        <v>TT</v>
      </c>
      <c r="D63" s="190" t="str">
        <f>'Tiên lượng'!C25</f>
        <v>TT</v>
      </c>
      <c r="E63" s="690" t="str">
        <f>'Tiên lượng'!D25</f>
        <v>Thi công hố ga 2 đầu cống</v>
      </c>
      <c r="F63" s="250" t="str">
        <f>'Tiên lượng'!E25</f>
        <v>cái</v>
      </c>
      <c r="G63" s="83"/>
      <c r="H63" s="21"/>
      <c r="I63" s="371"/>
      <c r="J63" s="185">
        <f>J64+J66</f>
        <v>2000000</v>
      </c>
      <c r="K63" s="600"/>
      <c r="L63" s="600"/>
      <c r="M63" s="600"/>
      <c r="N63" s="600"/>
      <c r="O63" s="600"/>
      <c r="P63" s="600"/>
      <c r="Q63" s="600"/>
      <c r="R63" s="600"/>
      <c r="S63" s="600"/>
      <c r="T63" s="600"/>
      <c r="U63" s="600"/>
      <c r="V63" s="600"/>
      <c r="W63" s="600"/>
      <c r="X63" s="600"/>
      <c r="Y63" s="600"/>
      <c r="Z63" s="600"/>
      <c r="AA63" s="600"/>
    </row>
    <row r="64" spans="1:27" x14ac:dyDescent="0.25">
      <c r="A64" s="607"/>
      <c r="B64" s="455"/>
      <c r="C64" s="762" t="s">
        <v>306</v>
      </c>
      <c r="D64" s="762" t="s">
        <v>306</v>
      </c>
      <c r="E64" s="882" t="s">
        <v>1372</v>
      </c>
      <c r="F64" s="455" t="s">
        <v>479</v>
      </c>
      <c r="G64" s="687"/>
      <c r="H64" s="54"/>
      <c r="I64" s="3"/>
      <c r="J64" s="54">
        <f>SUM(J65:J65)</f>
        <v>1000000</v>
      </c>
      <c r="K64" s="600"/>
      <c r="L64" s="600"/>
      <c r="M64" s="600"/>
      <c r="N64" s="600"/>
      <c r="O64" s="600"/>
      <c r="P64" s="600"/>
      <c r="Q64" s="600"/>
      <c r="R64" s="600"/>
      <c r="S64" s="600"/>
      <c r="T64" s="600"/>
      <c r="U64" s="600"/>
      <c r="V64" s="600"/>
      <c r="W64" s="600"/>
      <c r="X64" s="600"/>
      <c r="Y64" s="600"/>
      <c r="Z64" s="600"/>
      <c r="AA64" s="600"/>
    </row>
    <row r="65" spans="1:27" x14ac:dyDescent="0.25">
      <c r="A65" s="396"/>
      <c r="B65" s="731"/>
      <c r="C65" s="670" t="s">
        <v>306</v>
      </c>
      <c r="D65" s="349" t="s">
        <v>306</v>
      </c>
      <c r="E65" s="255" t="s">
        <v>854</v>
      </c>
      <c r="F65" s="731" t="s">
        <v>418</v>
      </c>
      <c r="G65" s="189">
        <f>PTVT!G81</f>
        <v>1</v>
      </c>
      <c r="H65" s="843">
        <f>'Tiên lượng'!N25</f>
        <v>1000000</v>
      </c>
      <c r="I65" s="282">
        <f>'Tiên lượng'!V25</f>
        <v>1</v>
      </c>
      <c r="J65" s="843">
        <f>PRODUCT(G65,H65,I65)</f>
        <v>1000000</v>
      </c>
      <c r="K65" s="600"/>
      <c r="L65" s="600"/>
      <c r="M65" s="600"/>
      <c r="N65" s="600"/>
      <c r="O65" s="600"/>
      <c r="P65" s="600"/>
      <c r="Q65" s="600"/>
      <c r="R65" s="600"/>
      <c r="S65" s="600"/>
      <c r="T65" s="600"/>
      <c r="U65" s="600"/>
      <c r="V65" s="600"/>
      <c r="W65" s="600"/>
      <c r="X65" s="600"/>
      <c r="Y65" s="600"/>
      <c r="Z65" s="600"/>
      <c r="AA65" s="600"/>
    </row>
    <row r="66" spans="1:27" x14ac:dyDescent="0.25">
      <c r="A66" s="607"/>
      <c r="B66" s="455"/>
      <c r="C66" s="762" t="s">
        <v>306</v>
      </c>
      <c r="D66" s="762" t="s">
        <v>306</v>
      </c>
      <c r="E66" s="882" t="s">
        <v>890</v>
      </c>
      <c r="F66" s="455" t="s">
        <v>125</v>
      </c>
      <c r="G66" s="687"/>
      <c r="H66" s="54"/>
      <c r="I66" s="3"/>
      <c r="J66" s="54">
        <f>SUM(J67:J67)</f>
        <v>1000000</v>
      </c>
      <c r="K66" s="600"/>
      <c r="L66" s="600"/>
      <c r="M66" s="600"/>
      <c r="N66" s="600"/>
      <c r="O66" s="600"/>
      <c r="P66" s="600"/>
      <c r="Q66" s="600"/>
      <c r="R66" s="600"/>
      <c r="S66" s="600"/>
      <c r="T66" s="600"/>
      <c r="U66" s="600"/>
      <c r="V66" s="600"/>
      <c r="W66" s="600"/>
      <c r="X66" s="600"/>
      <c r="Y66" s="600"/>
      <c r="Z66" s="600"/>
      <c r="AA66" s="600"/>
    </row>
    <row r="67" spans="1:27" x14ac:dyDescent="0.25">
      <c r="A67" s="419"/>
      <c r="B67" s="377"/>
      <c r="C67" s="682" t="s">
        <v>306</v>
      </c>
      <c r="D67" s="884" t="s">
        <v>306</v>
      </c>
      <c r="E67" s="798" t="s">
        <v>663</v>
      </c>
      <c r="F67" s="377" t="s">
        <v>239</v>
      </c>
      <c r="G67" s="208">
        <f>PTVT!G67</f>
        <v>1</v>
      </c>
      <c r="H67" s="862">
        <f>'Tiên lượng'!P25</f>
        <v>1000000</v>
      </c>
      <c r="I67" s="824">
        <f>'Tiên lượng'!W25</f>
        <v>1</v>
      </c>
      <c r="J67" s="862">
        <f>PRODUCT(G67,H67,I67)</f>
        <v>1000000</v>
      </c>
      <c r="K67" s="600"/>
      <c r="L67" s="600"/>
      <c r="M67" s="600"/>
      <c r="N67" s="600"/>
      <c r="O67" s="600"/>
      <c r="P67" s="600"/>
      <c r="Q67" s="600"/>
      <c r="R67" s="600"/>
      <c r="S67" s="600"/>
      <c r="T67" s="600"/>
      <c r="U67" s="600"/>
      <c r="V67" s="600"/>
      <c r="W67" s="600"/>
      <c r="X67" s="600"/>
      <c r="Y67" s="600"/>
      <c r="Z67" s="600"/>
      <c r="AA67" s="600"/>
    </row>
    <row r="68" spans="1:27" x14ac:dyDescent="0.25">
      <c r="A68" s="477"/>
      <c r="B68" s="250">
        <v>14</v>
      </c>
      <c r="C68" s="190" t="str">
        <f>'Tiên lượng'!C27</f>
        <v>AL.16201</v>
      </c>
      <c r="D68" s="190" t="str">
        <f>'Tiên lượng'!C27</f>
        <v>AL.16201</v>
      </c>
      <c r="E68" s="690" t="str">
        <f>'Tiên lượng'!D27</f>
        <v>Rải giấy ni long lớp cách ly</v>
      </c>
      <c r="F68" s="250" t="str">
        <f>'Tiên lượng'!E27</f>
        <v>100m2</v>
      </c>
      <c r="G68" s="83"/>
      <c r="H68" s="21"/>
      <c r="I68" s="371"/>
      <c r="J68" s="185">
        <f>J69+J72</f>
        <v>481380</v>
      </c>
      <c r="K68" s="600"/>
      <c r="L68" s="600"/>
      <c r="M68" s="600"/>
      <c r="N68" s="600"/>
      <c r="O68" s="600"/>
      <c r="P68" s="600"/>
      <c r="Q68" s="600"/>
      <c r="R68" s="600"/>
      <c r="S68" s="600"/>
      <c r="T68" s="600"/>
      <c r="U68" s="600"/>
      <c r="V68" s="600"/>
      <c r="W68" s="600"/>
      <c r="X68" s="600"/>
      <c r="Y68" s="600"/>
      <c r="Z68" s="600"/>
      <c r="AA68" s="600"/>
    </row>
    <row r="69" spans="1:27" x14ac:dyDescent="0.25">
      <c r="A69" s="607"/>
      <c r="B69" s="455"/>
      <c r="C69" s="762" t="s">
        <v>306</v>
      </c>
      <c r="D69" s="762" t="s">
        <v>306</v>
      </c>
      <c r="E69" s="882" t="s">
        <v>1372</v>
      </c>
      <c r="F69" s="455" t="s">
        <v>479</v>
      </c>
      <c r="G69" s="687"/>
      <c r="H69" s="54"/>
      <c r="I69" s="3"/>
      <c r="J69" s="54">
        <f>SUM(J70:J71)</f>
        <v>440880</v>
      </c>
      <c r="K69" s="600"/>
      <c r="L69" s="600"/>
      <c r="M69" s="600"/>
      <c r="N69" s="600"/>
      <c r="O69" s="600"/>
      <c r="P69" s="600"/>
      <c r="Q69" s="600"/>
      <c r="R69" s="600"/>
      <c r="S69" s="600"/>
      <c r="T69" s="600"/>
      <c r="U69" s="600"/>
      <c r="V69" s="600"/>
      <c r="W69" s="600"/>
      <c r="X69" s="600"/>
      <c r="Y69" s="600"/>
      <c r="Z69" s="600"/>
      <c r="AA69" s="600"/>
    </row>
    <row r="70" spans="1:27" x14ac:dyDescent="0.25">
      <c r="A70" s="396"/>
      <c r="B70" s="731"/>
      <c r="C70" s="670" t="s">
        <v>306</v>
      </c>
      <c r="D70" s="349" t="s">
        <v>1285</v>
      </c>
      <c r="E70" s="255" t="str">
        <f>" - " &amp; 'Giá VL'!E11</f>
        <v xml:space="preserve"> - Giấy nilong</v>
      </c>
      <c r="F70" s="731" t="str">
        <f>'Giá VL'!F11</f>
        <v>m2</v>
      </c>
      <c r="G70" s="189">
        <f>PTVT!G88</f>
        <v>110</v>
      </c>
      <c r="H70" s="843">
        <f>'Giá VL'!V11</f>
        <v>4000</v>
      </c>
      <c r="I70" s="282">
        <f>'Tiên lượng'!V27</f>
        <v>1</v>
      </c>
      <c r="J70" s="843">
        <f t="shared" ref="J70:J71" si="4">PRODUCT(G70,H70,I70)</f>
        <v>440000</v>
      </c>
      <c r="K70" s="600"/>
      <c r="L70" s="600"/>
      <c r="M70" s="600"/>
      <c r="N70" s="600"/>
      <c r="O70" s="600"/>
      <c r="P70" s="600"/>
      <c r="Q70" s="600"/>
      <c r="R70" s="600"/>
      <c r="S70" s="600"/>
      <c r="T70" s="600"/>
      <c r="U70" s="600"/>
      <c r="V70" s="600"/>
      <c r="W70" s="600"/>
      <c r="X70" s="600"/>
      <c r="Y70" s="600"/>
      <c r="Z70" s="600"/>
      <c r="AA70" s="600"/>
    </row>
    <row r="71" spans="1:27" x14ac:dyDescent="0.25">
      <c r="A71" s="396"/>
      <c r="B71" s="731"/>
      <c r="C71" s="670" t="s">
        <v>306</v>
      </c>
      <c r="D71" s="349" t="s">
        <v>429</v>
      </c>
      <c r="E71" s="255" t="s">
        <v>987</v>
      </c>
      <c r="F71" s="731" t="s">
        <v>1086</v>
      </c>
      <c r="G71" s="189">
        <f>PTVT!G89</f>
        <v>0.2</v>
      </c>
      <c r="H71" s="843">
        <f>(G70*H70)/100</f>
        <v>4400</v>
      </c>
      <c r="I71" s="282">
        <f>'Tiên lượng'!V27</f>
        <v>1</v>
      </c>
      <c r="J71" s="843">
        <f t="shared" si="4"/>
        <v>880</v>
      </c>
      <c r="K71" s="600"/>
      <c r="L71" s="600"/>
      <c r="M71" s="600"/>
      <c r="N71" s="600"/>
      <c r="O71" s="600"/>
      <c r="P71" s="600"/>
      <c r="Q71" s="600"/>
      <c r="R71" s="600"/>
      <c r="S71" s="600"/>
      <c r="T71" s="600"/>
      <c r="U71" s="600"/>
      <c r="V71" s="600"/>
      <c r="W71" s="600"/>
      <c r="X71" s="600"/>
      <c r="Y71" s="600"/>
      <c r="Z71" s="600"/>
      <c r="AA71" s="600"/>
    </row>
    <row r="72" spans="1:27" x14ac:dyDescent="0.25">
      <c r="A72" s="607"/>
      <c r="B72" s="455"/>
      <c r="C72" s="762" t="s">
        <v>306</v>
      </c>
      <c r="D72" s="762" t="s">
        <v>306</v>
      </c>
      <c r="E72" s="882" t="s">
        <v>890</v>
      </c>
      <c r="F72" s="455" t="s">
        <v>125</v>
      </c>
      <c r="G72" s="687"/>
      <c r="H72" s="54"/>
      <c r="I72" s="3"/>
      <c r="J72" s="54">
        <f>SUM(J73:J73)</f>
        <v>40500</v>
      </c>
      <c r="K72" s="600"/>
      <c r="L72" s="600"/>
      <c r="M72" s="600"/>
      <c r="N72" s="600"/>
      <c r="O72" s="600"/>
      <c r="P72" s="600"/>
      <c r="Q72" s="600"/>
      <c r="R72" s="600"/>
      <c r="S72" s="600"/>
      <c r="T72" s="600"/>
      <c r="U72" s="600"/>
      <c r="V72" s="600"/>
      <c r="W72" s="600"/>
      <c r="X72" s="600"/>
      <c r="Y72" s="600"/>
      <c r="Z72" s="600"/>
      <c r="AA72" s="600"/>
    </row>
    <row r="73" spans="1:27" x14ac:dyDescent="0.25">
      <c r="A73" s="419"/>
      <c r="B73" s="377"/>
      <c r="C73" s="682" t="s">
        <v>306</v>
      </c>
      <c r="D73" s="884" t="s">
        <v>1055</v>
      </c>
      <c r="E73" s="798" t="str">
        <f>" - " &amp; 'Giá NC'!E7</f>
        <v xml:space="preserve"> - Nhân công bậc 3,5/7 - Nhóm 2</v>
      </c>
      <c r="F73" s="377" t="str">
        <f>'Giá NC'!F7</f>
        <v>công</v>
      </c>
      <c r="G73" s="208">
        <f>PTVT!G91</f>
        <v>0.15</v>
      </c>
      <c r="H73" s="862">
        <f>'Giá NC'!K7</f>
        <v>270000</v>
      </c>
      <c r="I73" s="824">
        <f>'Tiên lượng'!W27</f>
        <v>1</v>
      </c>
      <c r="J73" s="862">
        <f>PRODUCT(G73,H73,I73)</f>
        <v>40500</v>
      </c>
      <c r="K73" s="600"/>
      <c r="L73" s="600"/>
      <c r="M73" s="600"/>
      <c r="N73" s="600"/>
      <c r="O73" s="600"/>
      <c r="P73" s="600"/>
      <c r="Q73" s="600"/>
      <c r="R73" s="600"/>
      <c r="S73" s="600"/>
      <c r="T73" s="600"/>
      <c r="U73" s="600"/>
      <c r="V73" s="600"/>
      <c r="W73" s="600"/>
      <c r="X73" s="600"/>
      <c r="Y73" s="600"/>
      <c r="Z73" s="600"/>
      <c r="AA73" s="600"/>
    </row>
    <row r="74" spans="1:27" x14ac:dyDescent="0.25">
      <c r="A74" s="477"/>
      <c r="B74" s="250">
        <v>15</v>
      </c>
      <c r="C74" s="190" t="str">
        <f>'Tiên lượng'!C30</f>
        <v>AF.82411</v>
      </c>
      <c r="D74" s="190" t="str">
        <f>'Tiên lượng'!C30</f>
        <v>AF.82411</v>
      </c>
      <c r="E74" s="690" t="str">
        <f>'Tiên lượng'!D30</f>
        <v>Ván khuôn thép mặt đường bê tông</v>
      </c>
      <c r="F74" s="250" t="str">
        <f>'Tiên lượng'!E30</f>
        <v>100m2</v>
      </c>
      <c r="G74" s="83"/>
      <c r="H74" s="21"/>
      <c r="I74" s="371"/>
      <c r="J74" s="185">
        <f>J75+J79+J81</f>
        <v>4135920.9727894687</v>
      </c>
      <c r="K74" s="600"/>
      <c r="L74" s="600"/>
      <c r="M74" s="600"/>
      <c r="N74" s="600"/>
      <c r="O74" s="600"/>
      <c r="P74" s="600"/>
      <c r="Q74" s="600"/>
      <c r="R74" s="600"/>
      <c r="S74" s="600"/>
      <c r="T74" s="600"/>
      <c r="U74" s="600"/>
      <c r="V74" s="600"/>
      <c r="W74" s="600"/>
      <c r="X74" s="600"/>
      <c r="Y74" s="600"/>
      <c r="Z74" s="600"/>
      <c r="AA74" s="600"/>
    </row>
    <row r="75" spans="1:27" x14ac:dyDescent="0.25">
      <c r="A75" s="607"/>
      <c r="B75" s="455"/>
      <c r="C75" s="762" t="s">
        <v>306</v>
      </c>
      <c r="D75" s="762" t="s">
        <v>306</v>
      </c>
      <c r="E75" s="882" t="s">
        <v>1372</v>
      </c>
      <c r="F75" s="455" t="s">
        <v>479</v>
      </c>
      <c r="G75" s="687"/>
      <c r="H75" s="54"/>
      <c r="I75" s="3"/>
      <c r="J75" s="54">
        <f>SUM(J76:J78)</f>
        <v>582442.17038946901</v>
      </c>
      <c r="K75" s="600"/>
      <c r="L75" s="600"/>
      <c r="M75" s="600"/>
      <c r="N75" s="600"/>
      <c r="O75" s="600"/>
      <c r="P75" s="600"/>
      <c r="Q75" s="600"/>
      <c r="R75" s="600"/>
      <c r="S75" s="600"/>
      <c r="T75" s="600"/>
      <c r="U75" s="600"/>
      <c r="V75" s="600"/>
      <c r="W75" s="600"/>
      <c r="X75" s="600"/>
      <c r="Y75" s="600"/>
      <c r="Z75" s="600"/>
      <c r="AA75" s="600"/>
    </row>
    <row r="76" spans="1:27" x14ac:dyDescent="0.25">
      <c r="A76" s="396"/>
      <c r="B76" s="731"/>
      <c r="C76" s="670" t="s">
        <v>306</v>
      </c>
      <c r="D76" s="349" t="s">
        <v>379</v>
      </c>
      <c r="E76" s="255" t="str">
        <f>" - " &amp; 'Giá VL'!E18</f>
        <v xml:space="preserve"> - Thép hình, thép tấm</v>
      </c>
      <c r="F76" s="731" t="str">
        <f>'Giá VL'!F18</f>
        <v>kg</v>
      </c>
      <c r="G76" s="189">
        <f>PTVT!G94</f>
        <v>31.5</v>
      </c>
      <c r="H76" s="843">
        <f>'Giá VL'!V18</f>
        <v>16380.8517124556</v>
      </c>
      <c r="I76" s="282">
        <f>'Tiên lượng'!V30</f>
        <v>1</v>
      </c>
      <c r="J76" s="843">
        <f t="shared" ref="J76:J78" si="5">PRODUCT(G76,H76,I76)</f>
        <v>515996.82894235139</v>
      </c>
      <c r="K76" s="600"/>
      <c r="L76" s="600"/>
      <c r="M76" s="600"/>
      <c r="N76" s="600"/>
      <c r="O76" s="600"/>
      <c r="P76" s="600"/>
      <c r="Q76" s="600"/>
      <c r="R76" s="600"/>
      <c r="S76" s="600"/>
      <c r="T76" s="600"/>
      <c r="U76" s="600"/>
      <c r="V76" s="600"/>
      <c r="W76" s="600"/>
      <c r="X76" s="600"/>
      <c r="Y76" s="600"/>
      <c r="Z76" s="600"/>
      <c r="AA76" s="600"/>
    </row>
    <row r="77" spans="1:27" x14ac:dyDescent="0.25">
      <c r="A77" s="396"/>
      <c r="B77" s="731"/>
      <c r="C77" s="670" t="s">
        <v>306</v>
      </c>
      <c r="D77" s="349" t="s">
        <v>218</v>
      </c>
      <c r="E77" s="255" t="str">
        <f>" - " &amp; 'Giá VL'!E17</f>
        <v xml:space="preserve"> - Que hàn</v>
      </c>
      <c r="F77" s="731" t="str">
        <f>'Giá VL'!F17</f>
        <v>kg</v>
      </c>
      <c r="G77" s="189">
        <f>PTVT!G95</f>
        <v>1.58</v>
      </c>
      <c r="H77" s="843">
        <f>'Giá VL'!V17</f>
        <v>24500</v>
      </c>
      <c r="I77" s="282">
        <f>'Tiên lượng'!V30</f>
        <v>1</v>
      </c>
      <c r="J77" s="843">
        <f t="shared" si="5"/>
        <v>38710</v>
      </c>
      <c r="K77" s="600"/>
      <c r="L77" s="600"/>
      <c r="M77" s="600"/>
      <c r="N77" s="600"/>
      <c r="O77" s="600"/>
      <c r="P77" s="600"/>
      <c r="Q77" s="600"/>
      <c r="R77" s="600"/>
      <c r="S77" s="600"/>
      <c r="T77" s="600"/>
      <c r="U77" s="600"/>
      <c r="V77" s="600"/>
      <c r="W77" s="600"/>
      <c r="X77" s="600"/>
      <c r="Y77" s="600"/>
      <c r="Z77" s="600"/>
      <c r="AA77" s="600"/>
    </row>
    <row r="78" spans="1:27" x14ac:dyDescent="0.25">
      <c r="A78" s="396"/>
      <c r="B78" s="731"/>
      <c r="C78" s="670" t="s">
        <v>306</v>
      </c>
      <c r="D78" s="349" t="s">
        <v>429</v>
      </c>
      <c r="E78" s="255" t="s">
        <v>987</v>
      </c>
      <c r="F78" s="731" t="s">
        <v>1086</v>
      </c>
      <c r="G78" s="189">
        <f>PTVT!G96</f>
        <v>5</v>
      </c>
      <c r="H78" s="843">
        <f>(G76*H76+G77*H77)/100</f>
        <v>5547.0682894235142</v>
      </c>
      <c r="I78" s="282">
        <f>'Tiên lượng'!V30</f>
        <v>1</v>
      </c>
      <c r="J78" s="843">
        <f t="shared" si="5"/>
        <v>27735.341447117571</v>
      </c>
      <c r="K78" s="600"/>
      <c r="L78" s="600"/>
      <c r="M78" s="600"/>
      <c r="N78" s="600"/>
      <c r="O78" s="600"/>
      <c r="P78" s="600"/>
      <c r="Q78" s="600"/>
      <c r="R78" s="600"/>
      <c r="S78" s="600"/>
      <c r="T78" s="600"/>
      <c r="U78" s="600"/>
      <c r="V78" s="600"/>
      <c r="W78" s="600"/>
      <c r="X78" s="600"/>
      <c r="Y78" s="600"/>
      <c r="Z78" s="600"/>
      <c r="AA78" s="600"/>
    </row>
    <row r="79" spans="1:27" x14ac:dyDescent="0.25">
      <c r="A79" s="607"/>
      <c r="B79" s="455"/>
      <c r="C79" s="762" t="s">
        <v>306</v>
      </c>
      <c r="D79" s="762" t="s">
        <v>306</v>
      </c>
      <c r="E79" s="882" t="s">
        <v>890</v>
      </c>
      <c r="F79" s="455" t="s">
        <v>125</v>
      </c>
      <c r="G79" s="687"/>
      <c r="H79" s="54"/>
      <c r="I79" s="3"/>
      <c r="J79" s="54">
        <f>SUM(J80:J80)</f>
        <v>3370558</v>
      </c>
      <c r="K79" s="600"/>
      <c r="L79" s="600"/>
      <c r="M79" s="600"/>
      <c r="N79" s="600"/>
      <c r="O79" s="600"/>
      <c r="P79" s="600"/>
      <c r="Q79" s="600"/>
      <c r="R79" s="600"/>
      <c r="S79" s="600"/>
      <c r="T79" s="600"/>
      <c r="U79" s="600"/>
      <c r="V79" s="600"/>
      <c r="W79" s="600"/>
      <c r="X79" s="600"/>
      <c r="Y79" s="600"/>
      <c r="Z79" s="600"/>
      <c r="AA79" s="600"/>
    </row>
    <row r="80" spans="1:27" x14ac:dyDescent="0.25">
      <c r="A80" s="396"/>
      <c r="B80" s="731"/>
      <c r="C80" s="670" t="s">
        <v>306</v>
      </c>
      <c r="D80" s="349" t="s">
        <v>1295</v>
      </c>
      <c r="E80" s="255" t="str">
        <f>" - " &amp; 'Giá NC'!E8</f>
        <v xml:space="preserve"> - Nhân công bậc 4,0/7 - Nhóm 2</v>
      </c>
      <c r="F80" s="731" t="str">
        <f>'Giá NC'!F8</f>
        <v>công</v>
      </c>
      <c r="G80" s="189">
        <f>PTVT!G98</f>
        <v>11.5</v>
      </c>
      <c r="H80" s="843">
        <f>'Giá NC'!K8</f>
        <v>293092</v>
      </c>
      <c r="I80" s="282">
        <f>'Tiên lượng'!W30</f>
        <v>1</v>
      </c>
      <c r="J80" s="843">
        <f>PRODUCT(G80,H80,I80)</f>
        <v>3370558</v>
      </c>
      <c r="K80" s="600"/>
      <c r="L80" s="600"/>
      <c r="M80" s="600"/>
      <c r="N80" s="600"/>
      <c r="O80" s="600"/>
      <c r="P80" s="600"/>
      <c r="Q80" s="600"/>
      <c r="R80" s="600"/>
      <c r="S80" s="600"/>
      <c r="T80" s="600"/>
      <c r="U80" s="600"/>
      <c r="V80" s="600"/>
      <c r="W80" s="600"/>
      <c r="X80" s="600"/>
      <c r="Y80" s="600"/>
      <c r="Z80" s="600"/>
      <c r="AA80" s="600"/>
    </row>
    <row r="81" spans="1:27" x14ac:dyDescent="0.25">
      <c r="A81" s="607"/>
      <c r="B81" s="455"/>
      <c r="C81" s="762" t="s">
        <v>306</v>
      </c>
      <c r="D81" s="762" t="s">
        <v>306</v>
      </c>
      <c r="E81" s="882" t="s">
        <v>556</v>
      </c>
      <c r="F81" s="455" t="s">
        <v>539</v>
      </c>
      <c r="G81" s="687"/>
      <c r="H81" s="54"/>
      <c r="I81" s="3"/>
      <c r="J81" s="54">
        <f>SUM(J82:J83)</f>
        <v>182920.80239999999</v>
      </c>
      <c r="K81" s="600"/>
      <c r="L81" s="600"/>
      <c r="M81" s="600"/>
      <c r="N81" s="600"/>
      <c r="O81" s="600"/>
      <c r="P81" s="600"/>
      <c r="Q81" s="600"/>
      <c r="R81" s="600"/>
      <c r="S81" s="600"/>
      <c r="T81" s="600"/>
      <c r="U81" s="600"/>
      <c r="V81" s="600"/>
      <c r="W81" s="600"/>
      <c r="X81" s="600"/>
      <c r="Y81" s="600"/>
      <c r="Z81" s="600"/>
      <c r="AA81" s="600"/>
    </row>
    <row r="82" spans="1:27" x14ac:dyDescent="0.25">
      <c r="A82" s="396"/>
      <c r="B82" s="731"/>
      <c r="C82" s="670" t="s">
        <v>306</v>
      </c>
      <c r="D82" s="349" t="s">
        <v>1203</v>
      </c>
      <c r="E82" s="255" t="str">
        <f>" - " &amp; 'Giá Máy'!E13</f>
        <v xml:space="preserve"> - Máy hàn điện 23kW</v>
      </c>
      <c r="F82" s="731" t="str">
        <f>'Giá Máy'!F13</f>
        <v>ca</v>
      </c>
      <c r="G82" s="189">
        <f>PTVT!G100</f>
        <v>0.42</v>
      </c>
      <c r="H82" s="843">
        <f>'Giá Máy'!O13</f>
        <v>426986</v>
      </c>
      <c r="I82" s="282">
        <f>'Tiên lượng'!X30</f>
        <v>1</v>
      </c>
      <c r="J82" s="843">
        <f t="shared" ref="J82:J83" si="6">PRODUCT(G82,H82,I82)</f>
        <v>179334.12</v>
      </c>
      <c r="K82" s="600"/>
      <c r="L82" s="600"/>
      <c r="M82" s="600"/>
      <c r="N82" s="600"/>
      <c r="O82" s="600"/>
      <c r="P82" s="600"/>
      <c r="Q82" s="600"/>
      <c r="R82" s="600"/>
      <c r="S82" s="600"/>
      <c r="T82" s="600"/>
      <c r="U82" s="600"/>
      <c r="V82" s="600"/>
      <c r="W82" s="600"/>
      <c r="X82" s="600"/>
      <c r="Y82" s="600"/>
      <c r="Z82" s="600"/>
      <c r="AA82" s="600"/>
    </row>
    <row r="83" spans="1:27" x14ac:dyDescent="0.25">
      <c r="A83" s="419"/>
      <c r="B83" s="377"/>
      <c r="C83" s="682" t="s">
        <v>306</v>
      </c>
      <c r="D83" s="884" t="s">
        <v>760</v>
      </c>
      <c r="E83" s="798" t="s">
        <v>830</v>
      </c>
      <c r="F83" s="377" t="s">
        <v>1086</v>
      </c>
      <c r="G83" s="208">
        <f>PTVT!G101</f>
        <v>2</v>
      </c>
      <c r="H83" s="862">
        <f>(G82*H82)/100</f>
        <v>1793.3411999999998</v>
      </c>
      <c r="I83" s="824">
        <f>'Tiên lượng'!X30</f>
        <v>1</v>
      </c>
      <c r="J83" s="862">
        <f t="shared" si="6"/>
        <v>3586.6823999999997</v>
      </c>
      <c r="K83" s="600"/>
      <c r="L83" s="600"/>
      <c r="M83" s="600"/>
      <c r="N83" s="600"/>
      <c r="O83" s="600"/>
      <c r="P83" s="600"/>
      <c r="Q83" s="600"/>
      <c r="R83" s="600"/>
      <c r="S83" s="600"/>
      <c r="T83" s="600"/>
      <c r="U83" s="600"/>
      <c r="V83" s="600"/>
      <c r="W83" s="600"/>
      <c r="X83" s="600"/>
      <c r="Y83" s="600"/>
      <c r="Z83" s="600"/>
      <c r="AA83" s="600"/>
    </row>
    <row r="84" spans="1:27" ht="30" x14ac:dyDescent="0.25">
      <c r="A84" s="477"/>
      <c r="B84" s="250">
        <v>16</v>
      </c>
      <c r="C84" s="190" t="str">
        <f>'Tiên lượng'!C32</f>
        <v>AF.15434A</v>
      </c>
      <c r="D84" s="190" t="str">
        <f>'Tiên lượng'!C32</f>
        <v>AF.15434A</v>
      </c>
      <c r="E84" s="690" t="str">
        <f>'Tiên lượng'!D32</f>
        <v>Bê tông sản xuất bằng máy trộn và đổ bằng thủ công, bê tông mặt đường dày mặt đường ≤25cm, bê tông M250, đá 2x4, PCB30</v>
      </c>
      <c r="F84" s="250" t="str">
        <f>'Tiên lượng'!E32</f>
        <v>m3</v>
      </c>
      <c r="G84" s="83"/>
      <c r="H84" s="21"/>
      <c r="I84" s="371"/>
      <c r="J84" s="185">
        <f>J85+J93+J95</f>
        <v>2018420.9326536451</v>
      </c>
      <c r="K84" s="600"/>
      <c r="L84" s="600"/>
      <c r="M84" s="600"/>
      <c r="N84" s="600"/>
      <c r="O84" s="600"/>
      <c r="P84" s="600"/>
      <c r="Q84" s="600"/>
      <c r="R84" s="600"/>
      <c r="S84" s="600"/>
      <c r="T84" s="600"/>
      <c r="U84" s="600"/>
      <c r="V84" s="600"/>
      <c r="W84" s="600"/>
      <c r="X84" s="600"/>
      <c r="Y84" s="600"/>
      <c r="Z84" s="600"/>
      <c r="AA84" s="600"/>
    </row>
    <row r="85" spans="1:27" x14ac:dyDescent="0.25">
      <c r="A85" s="607"/>
      <c r="B85" s="455"/>
      <c r="C85" s="762" t="s">
        <v>306</v>
      </c>
      <c r="D85" s="762" t="s">
        <v>306</v>
      </c>
      <c r="E85" s="882" t="s">
        <v>1372</v>
      </c>
      <c r="F85" s="455" t="s">
        <v>479</v>
      </c>
      <c r="G85" s="687"/>
      <c r="H85" s="54"/>
      <c r="I85" s="3"/>
      <c r="J85" s="54">
        <f>SUM(J86:J92)</f>
        <v>1566233.024253645</v>
      </c>
      <c r="K85" s="600"/>
      <c r="L85" s="600"/>
      <c r="M85" s="600"/>
      <c r="N85" s="600"/>
      <c r="O85" s="600"/>
      <c r="P85" s="600"/>
      <c r="Q85" s="600"/>
      <c r="R85" s="600"/>
      <c r="S85" s="600"/>
      <c r="T85" s="600"/>
      <c r="U85" s="600"/>
      <c r="V85" s="600"/>
      <c r="W85" s="600"/>
      <c r="X85" s="600"/>
      <c r="Y85" s="600"/>
      <c r="Z85" s="600"/>
      <c r="AA85" s="600"/>
    </row>
    <row r="86" spans="1:27" x14ac:dyDescent="0.25">
      <c r="A86" s="396"/>
      <c r="B86" s="731"/>
      <c r="C86" s="670" t="s">
        <v>306</v>
      </c>
      <c r="D86" s="349" t="s">
        <v>762</v>
      </c>
      <c r="E86" s="255" t="str">
        <f>" - " &amp; 'Giá VL'!E19</f>
        <v xml:space="preserve"> - Xi măng PCB30</v>
      </c>
      <c r="F86" s="731" t="str">
        <f>'Giá VL'!F19</f>
        <v>kg</v>
      </c>
      <c r="G86" s="189">
        <f>PTVT!G104</f>
        <v>348.5</v>
      </c>
      <c r="H86" s="843">
        <f>'Giá VL'!V19</f>
        <v>1705.1648223132001</v>
      </c>
      <c r="I86" s="282">
        <f>'Tiên lượng'!V32</f>
        <v>1</v>
      </c>
      <c r="J86" s="843">
        <f t="shared" ref="J86:J92" si="7">PRODUCT(G86,H86,I86)</f>
        <v>594249.9405761502</v>
      </c>
      <c r="K86" s="600"/>
      <c r="L86" s="600"/>
      <c r="M86" s="600"/>
      <c r="N86" s="600"/>
      <c r="O86" s="600"/>
      <c r="P86" s="600"/>
      <c r="Q86" s="600"/>
      <c r="R86" s="600"/>
      <c r="S86" s="600"/>
      <c r="T86" s="600"/>
      <c r="U86" s="600"/>
      <c r="V86" s="600"/>
      <c r="W86" s="600"/>
      <c r="X86" s="600"/>
      <c r="Y86" s="600"/>
      <c r="Z86" s="600"/>
      <c r="AA86" s="600"/>
    </row>
    <row r="87" spans="1:27" x14ac:dyDescent="0.25">
      <c r="A87" s="396"/>
      <c r="B87" s="731"/>
      <c r="C87" s="670" t="s">
        <v>306</v>
      </c>
      <c r="D87" s="349" t="s">
        <v>95</v>
      </c>
      <c r="E87" s="255" t="str">
        <f>" - " &amp; 'Giá VL'!E9</f>
        <v xml:space="preserve"> - Cát vàng</v>
      </c>
      <c r="F87" s="731" t="str">
        <f>'Giá VL'!F9</f>
        <v>m3</v>
      </c>
      <c r="G87" s="189">
        <f>PTVT!G105</f>
        <v>0.52992499999999998</v>
      </c>
      <c r="H87" s="843">
        <f>'Giá VL'!V9</f>
        <v>938105.03993760003</v>
      </c>
      <c r="I87" s="282">
        <f>'Tiên lượng'!V32</f>
        <v>1</v>
      </c>
      <c r="J87" s="843">
        <f t="shared" si="7"/>
        <v>497125.31328893267</v>
      </c>
      <c r="K87" s="600"/>
      <c r="L87" s="600"/>
      <c r="M87" s="600"/>
      <c r="N87" s="600"/>
      <c r="O87" s="600"/>
      <c r="P87" s="600"/>
      <c r="Q87" s="600"/>
      <c r="R87" s="600"/>
      <c r="S87" s="600"/>
      <c r="T87" s="600"/>
      <c r="U87" s="600"/>
      <c r="V87" s="600"/>
      <c r="W87" s="600"/>
      <c r="X87" s="600"/>
      <c r="Y87" s="600"/>
      <c r="Z87" s="600"/>
      <c r="AA87" s="600"/>
    </row>
    <row r="88" spans="1:27" x14ac:dyDescent="0.25">
      <c r="A88" s="396"/>
      <c r="B88" s="731"/>
      <c r="C88" s="670" t="s">
        <v>306</v>
      </c>
      <c r="D88" s="349" t="s">
        <v>193</v>
      </c>
      <c r="E88" s="255" t="str">
        <f>" - " &amp; 'Giá VL'!E10</f>
        <v xml:space="preserve"> - Đá 2x4</v>
      </c>
      <c r="F88" s="731" t="str">
        <f>'Giá VL'!F10</f>
        <v>m3</v>
      </c>
      <c r="G88" s="189">
        <f>PTVT!G106</f>
        <v>0.85997500000000004</v>
      </c>
      <c r="H88" s="843">
        <f>'Giá VL'!V10</f>
        <v>426476.16578799998</v>
      </c>
      <c r="I88" s="282">
        <f>'Tiên lượng'!V32</f>
        <v>1</v>
      </c>
      <c r="J88" s="843">
        <f t="shared" si="7"/>
        <v>366758.84067353531</v>
      </c>
      <c r="K88" s="600"/>
      <c r="L88" s="600"/>
      <c r="M88" s="600"/>
      <c r="N88" s="600"/>
      <c r="O88" s="600"/>
      <c r="P88" s="600"/>
      <c r="Q88" s="600"/>
      <c r="R88" s="600"/>
      <c r="S88" s="600"/>
      <c r="T88" s="600"/>
      <c r="U88" s="600"/>
      <c r="V88" s="600"/>
      <c r="W88" s="600"/>
      <c r="X88" s="600"/>
      <c r="Y88" s="600"/>
      <c r="Z88" s="600"/>
      <c r="AA88" s="600"/>
    </row>
    <row r="89" spans="1:27" x14ac:dyDescent="0.25">
      <c r="A89" s="396"/>
      <c r="B89" s="731"/>
      <c r="C89" s="670" t="s">
        <v>306</v>
      </c>
      <c r="D89" s="349" t="s">
        <v>135</v>
      </c>
      <c r="E89" s="255" t="str">
        <f>" - " &amp; 'Giá VL'!E15</f>
        <v xml:space="preserve"> - Nước</v>
      </c>
      <c r="F89" s="731" t="str">
        <f>'Giá VL'!F15</f>
        <v>lít</v>
      </c>
      <c r="G89" s="189">
        <f>PTVT!G107</f>
        <v>177.32499999999999</v>
      </c>
      <c r="H89" s="843">
        <f>'Giá VL'!V15</f>
        <v>15</v>
      </c>
      <c r="I89" s="282">
        <f>'Tiên lượng'!V32</f>
        <v>1</v>
      </c>
      <c r="J89" s="843">
        <f t="shared" si="7"/>
        <v>2659.875</v>
      </c>
      <c r="K89" s="600"/>
      <c r="L89" s="600"/>
      <c r="M89" s="600"/>
      <c r="N89" s="600"/>
      <c r="O89" s="600"/>
      <c r="P89" s="600"/>
      <c r="Q89" s="600"/>
      <c r="R89" s="600"/>
      <c r="S89" s="600"/>
      <c r="T89" s="600"/>
      <c r="U89" s="600"/>
      <c r="V89" s="600"/>
      <c r="W89" s="600"/>
      <c r="X89" s="600"/>
      <c r="Y89" s="600"/>
      <c r="Z89" s="600"/>
      <c r="AA89" s="600"/>
    </row>
    <row r="90" spans="1:27" x14ac:dyDescent="0.25">
      <c r="A90" s="396"/>
      <c r="B90" s="731"/>
      <c r="C90" s="670" t="s">
        <v>306</v>
      </c>
      <c r="D90" s="349" t="s">
        <v>491</v>
      </c>
      <c r="E90" s="255" t="str">
        <f>" - " &amp; 'Giá VL'!E12</f>
        <v xml:space="preserve"> - Gỗ làm khe co dãn</v>
      </c>
      <c r="F90" s="731" t="str">
        <f>'Giá VL'!F12</f>
        <v>m3</v>
      </c>
      <c r="G90" s="189">
        <f>PTVT!G108</f>
        <v>0</v>
      </c>
      <c r="H90" s="843">
        <f>'Giá VL'!V12</f>
        <v>2884202.0708116</v>
      </c>
      <c r="I90" s="282">
        <f>'Tiên lượng'!V32</f>
        <v>1</v>
      </c>
      <c r="J90" s="843">
        <f t="shared" si="7"/>
        <v>0</v>
      </c>
      <c r="K90" s="600"/>
      <c r="L90" s="600"/>
      <c r="M90" s="600"/>
      <c r="N90" s="600"/>
      <c r="O90" s="600"/>
      <c r="P90" s="600"/>
      <c r="Q90" s="600"/>
      <c r="R90" s="600"/>
      <c r="S90" s="600"/>
      <c r="T90" s="600"/>
      <c r="U90" s="600"/>
      <c r="V90" s="600"/>
      <c r="W90" s="600"/>
      <c r="X90" s="600"/>
      <c r="Y90" s="600"/>
      <c r="Z90" s="600"/>
      <c r="AA90" s="600"/>
    </row>
    <row r="91" spans="1:27" x14ac:dyDescent="0.25">
      <c r="A91" s="396"/>
      <c r="B91" s="731"/>
      <c r="C91" s="670" t="s">
        <v>306</v>
      </c>
      <c r="D91" s="349" t="s">
        <v>138</v>
      </c>
      <c r="E91" s="255" t="str">
        <f>" - " &amp; 'Giá VL'!E14</f>
        <v xml:space="preserve"> - Nhựa đường</v>
      </c>
      <c r="F91" s="731" t="str">
        <f>'Giá VL'!F14</f>
        <v>kg</v>
      </c>
      <c r="G91" s="189">
        <f>PTVT!G109</f>
        <v>3.5</v>
      </c>
      <c r="H91" s="843">
        <f>'Giá VL'!V14</f>
        <v>23512.2153897108</v>
      </c>
      <c r="I91" s="282">
        <f>'Tiên lượng'!V32</f>
        <v>1</v>
      </c>
      <c r="J91" s="843">
        <f t="shared" si="7"/>
        <v>82292.753863987804</v>
      </c>
      <c r="K91" s="600"/>
      <c r="L91" s="600"/>
      <c r="M91" s="600"/>
      <c r="N91" s="600"/>
      <c r="O91" s="600"/>
      <c r="P91" s="600"/>
      <c r="Q91" s="600"/>
      <c r="R91" s="600"/>
      <c r="S91" s="600"/>
      <c r="T91" s="600"/>
      <c r="U91" s="600"/>
      <c r="V91" s="600"/>
      <c r="W91" s="600"/>
      <c r="X91" s="600"/>
      <c r="Y91" s="600"/>
      <c r="Z91" s="600"/>
      <c r="AA91" s="600"/>
    </row>
    <row r="92" spans="1:27" x14ac:dyDescent="0.25">
      <c r="A92" s="396"/>
      <c r="B92" s="731"/>
      <c r="C92" s="670" t="s">
        <v>306</v>
      </c>
      <c r="D92" s="349" t="s">
        <v>429</v>
      </c>
      <c r="E92" s="255" t="s">
        <v>506</v>
      </c>
      <c r="F92" s="731" t="s">
        <v>1086</v>
      </c>
      <c r="G92" s="189">
        <f>PTVT!G110</f>
        <v>1.5</v>
      </c>
      <c r="H92" s="843">
        <f>(G86*H86+G87*H87+G88*H88+G89*H89+G90*H90+G91*H91)/100</f>
        <v>15430.867234026058</v>
      </c>
      <c r="I92" s="282">
        <f>'Tiên lượng'!V32</f>
        <v>1</v>
      </c>
      <c r="J92" s="843">
        <f t="shared" si="7"/>
        <v>23146.300851039086</v>
      </c>
      <c r="K92" s="600"/>
      <c r="L92" s="600"/>
      <c r="M92" s="600"/>
      <c r="N92" s="600"/>
      <c r="O92" s="600"/>
      <c r="P92" s="600"/>
      <c r="Q92" s="600"/>
      <c r="R92" s="600"/>
      <c r="S92" s="600"/>
      <c r="T92" s="600"/>
      <c r="U92" s="600"/>
      <c r="V92" s="600"/>
      <c r="W92" s="600"/>
      <c r="X92" s="600"/>
      <c r="Y92" s="600"/>
      <c r="Z92" s="600"/>
      <c r="AA92" s="600"/>
    </row>
    <row r="93" spans="1:27" x14ac:dyDescent="0.25">
      <c r="A93" s="607"/>
      <c r="B93" s="455"/>
      <c r="C93" s="762" t="s">
        <v>306</v>
      </c>
      <c r="D93" s="762" t="s">
        <v>306</v>
      </c>
      <c r="E93" s="882" t="s">
        <v>890</v>
      </c>
      <c r="F93" s="455" t="s">
        <v>125</v>
      </c>
      <c r="G93" s="687"/>
      <c r="H93" s="54"/>
      <c r="I93" s="3"/>
      <c r="J93" s="54">
        <f>SUM(J94:J94)</f>
        <v>369900</v>
      </c>
      <c r="K93" s="600"/>
      <c r="L93" s="600"/>
      <c r="M93" s="600"/>
      <c r="N93" s="600"/>
      <c r="O93" s="600"/>
      <c r="P93" s="600"/>
      <c r="Q93" s="600"/>
      <c r="R93" s="600"/>
      <c r="S93" s="600"/>
      <c r="T93" s="600"/>
      <c r="U93" s="600"/>
      <c r="V93" s="600"/>
      <c r="W93" s="600"/>
      <c r="X93" s="600"/>
      <c r="Y93" s="600"/>
      <c r="Z93" s="600"/>
      <c r="AA93" s="600"/>
    </row>
    <row r="94" spans="1:27" x14ac:dyDescent="0.25">
      <c r="A94" s="396"/>
      <c r="B94" s="731"/>
      <c r="C94" s="670" t="s">
        <v>306</v>
      </c>
      <c r="D94" s="349" t="s">
        <v>1055</v>
      </c>
      <c r="E94" s="255" t="str">
        <f>" - " &amp; 'Giá NC'!E7</f>
        <v xml:space="preserve"> - Nhân công bậc 3,5/7 - Nhóm 2</v>
      </c>
      <c r="F94" s="731" t="str">
        <f>'Giá NC'!F7</f>
        <v>công</v>
      </c>
      <c r="G94" s="189">
        <f>PTVT!G112</f>
        <v>1.37</v>
      </c>
      <c r="H94" s="843">
        <f>'Giá NC'!K7</f>
        <v>270000</v>
      </c>
      <c r="I94" s="282">
        <f>'Tiên lượng'!W32</f>
        <v>1</v>
      </c>
      <c r="J94" s="843">
        <f>PRODUCT(G94,H94,I94)</f>
        <v>369900</v>
      </c>
      <c r="K94" s="600"/>
      <c r="L94" s="600"/>
      <c r="M94" s="600"/>
      <c r="N94" s="600"/>
      <c r="O94" s="600"/>
      <c r="P94" s="600"/>
      <c r="Q94" s="600"/>
      <c r="R94" s="600"/>
      <c r="S94" s="600"/>
      <c r="T94" s="600"/>
      <c r="U94" s="600"/>
      <c r="V94" s="600"/>
      <c r="W94" s="600"/>
      <c r="X94" s="600"/>
      <c r="Y94" s="600"/>
      <c r="Z94" s="600"/>
      <c r="AA94" s="600"/>
    </row>
    <row r="95" spans="1:27" x14ac:dyDescent="0.25">
      <c r="A95" s="607"/>
      <c r="B95" s="455"/>
      <c r="C95" s="762" t="s">
        <v>306</v>
      </c>
      <c r="D95" s="762" t="s">
        <v>306</v>
      </c>
      <c r="E95" s="882" t="s">
        <v>556</v>
      </c>
      <c r="F95" s="455" t="s">
        <v>539</v>
      </c>
      <c r="G95" s="687"/>
      <c r="H95" s="54"/>
      <c r="I95" s="3"/>
      <c r="J95" s="54">
        <f>SUM(J96:J99)</f>
        <v>82287.9084</v>
      </c>
      <c r="K95" s="600"/>
      <c r="L95" s="600"/>
      <c r="M95" s="600"/>
      <c r="N95" s="600"/>
      <c r="O95" s="600"/>
      <c r="P95" s="600"/>
      <c r="Q95" s="600"/>
      <c r="R95" s="600"/>
      <c r="S95" s="600"/>
      <c r="T95" s="600"/>
      <c r="U95" s="600"/>
      <c r="V95" s="600"/>
      <c r="W95" s="600"/>
      <c r="X95" s="600"/>
      <c r="Y95" s="600"/>
      <c r="Z95" s="600"/>
      <c r="AA95" s="600"/>
    </row>
    <row r="96" spans="1:27" x14ac:dyDescent="0.25">
      <c r="A96" s="396"/>
      <c r="B96" s="731"/>
      <c r="C96" s="670" t="s">
        <v>306</v>
      </c>
      <c r="D96" s="349" t="s">
        <v>698</v>
      </c>
      <c r="E96" s="255" t="str">
        <f>" - " &amp; 'Giá Máy'!E16</f>
        <v xml:space="preserve"> - Máy trộn bê tông 250 lít</v>
      </c>
      <c r="F96" s="731" t="str">
        <f>'Giá Máy'!F16</f>
        <v>ca</v>
      </c>
      <c r="G96" s="189">
        <f>PTVT!G114</f>
        <v>9.5000000000000001E-2</v>
      </c>
      <c r="H96" s="843">
        <f>'Giá Máy'!O16</f>
        <v>326306</v>
      </c>
      <c r="I96" s="282">
        <f>'Tiên lượng'!X32</f>
        <v>1</v>
      </c>
      <c r="J96" s="843">
        <f t="shared" ref="J96:J99" si="8">PRODUCT(G96,H96,I96)</f>
        <v>30999.07</v>
      </c>
      <c r="K96" s="600"/>
      <c r="L96" s="600"/>
      <c r="M96" s="600"/>
      <c r="N96" s="600"/>
      <c r="O96" s="600"/>
      <c r="P96" s="600"/>
      <c r="Q96" s="600"/>
      <c r="R96" s="600"/>
      <c r="S96" s="600"/>
      <c r="T96" s="600"/>
      <c r="U96" s="600"/>
      <c r="V96" s="600"/>
      <c r="W96" s="600"/>
      <c r="X96" s="600"/>
      <c r="Y96" s="600"/>
      <c r="Z96" s="600"/>
      <c r="AA96" s="600"/>
    </row>
    <row r="97" spans="1:27" x14ac:dyDescent="0.25">
      <c r="A97" s="396"/>
      <c r="B97" s="731"/>
      <c r="C97" s="670" t="s">
        <v>306</v>
      </c>
      <c r="D97" s="349" t="s">
        <v>1395</v>
      </c>
      <c r="E97" s="255" t="str">
        <f>" - " &amp; 'Giá Máy'!E8</f>
        <v xml:space="preserve"> - Máy đầm bàn 1kW</v>
      </c>
      <c r="F97" s="731" t="str">
        <f>'Giá Máy'!F8</f>
        <v>ca</v>
      </c>
      <c r="G97" s="189">
        <f>PTVT!G115</f>
        <v>8.8999999999999996E-2</v>
      </c>
      <c r="H97" s="843">
        <f>'Giá Máy'!O8</f>
        <v>276871</v>
      </c>
      <c r="I97" s="282">
        <f>'Tiên lượng'!X32</f>
        <v>1</v>
      </c>
      <c r="J97" s="843">
        <f t="shared" si="8"/>
        <v>24641.519</v>
      </c>
      <c r="K97" s="600"/>
      <c r="L97" s="600"/>
      <c r="M97" s="600"/>
      <c r="N97" s="600"/>
      <c r="O97" s="600"/>
      <c r="P97" s="600"/>
      <c r="Q97" s="600"/>
      <c r="R97" s="600"/>
      <c r="S97" s="600"/>
      <c r="T97" s="600"/>
      <c r="U97" s="600"/>
      <c r="V97" s="600"/>
      <c r="W97" s="600"/>
      <c r="X97" s="600"/>
      <c r="Y97" s="600"/>
      <c r="Z97" s="600"/>
      <c r="AA97" s="600"/>
    </row>
    <row r="98" spans="1:27" x14ac:dyDescent="0.25">
      <c r="A98" s="396"/>
      <c r="B98" s="731"/>
      <c r="C98" s="670" t="s">
        <v>306</v>
      </c>
      <c r="D98" s="349" t="s">
        <v>1341</v>
      </c>
      <c r="E98" s="255" t="str">
        <f>" - " &amp; 'Giá Máy'!E10</f>
        <v xml:space="preserve"> - Máy đầm dùi 1,5kW</v>
      </c>
      <c r="F98" s="731" t="str">
        <f>'Giá Máy'!F10</f>
        <v>ca</v>
      </c>
      <c r="G98" s="189">
        <f>PTVT!G116</f>
        <v>8.8999999999999996E-2</v>
      </c>
      <c r="H98" s="843">
        <f>'Giá Máy'!O10</f>
        <v>281279</v>
      </c>
      <c r="I98" s="282">
        <f>'Tiên lượng'!X32</f>
        <v>1</v>
      </c>
      <c r="J98" s="843">
        <f t="shared" si="8"/>
        <v>25033.830999999998</v>
      </c>
      <c r="K98" s="600"/>
      <c r="L98" s="600"/>
      <c r="M98" s="600"/>
      <c r="N98" s="600"/>
      <c r="O98" s="600"/>
      <c r="P98" s="600"/>
      <c r="Q98" s="600"/>
      <c r="R98" s="600"/>
      <c r="S98" s="600"/>
      <c r="T98" s="600"/>
      <c r="U98" s="600"/>
      <c r="V98" s="600"/>
      <c r="W98" s="600"/>
      <c r="X98" s="600"/>
      <c r="Y98" s="600"/>
      <c r="Z98" s="600"/>
      <c r="AA98" s="600"/>
    </row>
    <row r="99" spans="1:27" x14ac:dyDescent="0.25">
      <c r="A99" s="419"/>
      <c r="B99" s="377"/>
      <c r="C99" s="682" t="s">
        <v>306</v>
      </c>
      <c r="D99" s="884" t="s">
        <v>760</v>
      </c>
      <c r="E99" s="798" t="s">
        <v>830</v>
      </c>
      <c r="F99" s="377" t="s">
        <v>1086</v>
      </c>
      <c r="G99" s="208">
        <f>PTVT!G117</f>
        <v>2</v>
      </c>
      <c r="H99" s="862">
        <f>(G96*H96+G97*H97+G98*H98)/100</f>
        <v>806.74419999999998</v>
      </c>
      <c r="I99" s="824">
        <f>'Tiên lượng'!X32</f>
        <v>1</v>
      </c>
      <c r="J99" s="862">
        <f t="shared" si="8"/>
        <v>1613.4884</v>
      </c>
      <c r="K99" s="600"/>
      <c r="L99" s="600"/>
      <c r="M99" s="600"/>
      <c r="N99" s="600"/>
      <c r="O99" s="600"/>
      <c r="P99" s="600"/>
      <c r="Q99" s="600"/>
      <c r="R99" s="600"/>
      <c r="S99" s="600"/>
      <c r="T99" s="600"/>
      <c r="U99" s="600"/>
      <c r="V99" s="600"/>
      <c r="W99" s="600"/>
      <c r="X99" s="600"/>
      <c r="Y99" s="600"/>
      <c r="Z99" s="600"/>
      <c r="AA99" s="600"/>
    </row>
    <row r="100" spans="1:27" x14ac:dyDescent="0.25">
      <c r="A100" s="477"/>
      <c r="B100" s="250">
        <v>17</v>
      </c>
      <c r="C100" s="190" t="str">
        <f>'Tiên lượng'!C35</f>
        <v>AL.22111</v>
      </c>
      <c r="D100" s="190" t="str">
        <f>'Tiên lượng'!C35</f>
        <v>AL.22111</v>
      </c>
      <c r="E100" s="690" t="str">
        <f>'Tiên lượng'!D35</f>
        <v>Cắt khe co, dãn mặt đường BTXM ( 5m cắt 1 mạch)</v>
      </c>
      <c r="F100" s="250" t="str">
        <f>'Tiên lượng'!E35</f>
        <v>10m</v>
      </c>
      <c r="G100" s="83"/>
      <c r="H100" s="21"/>
      <c r="I100" s="371"/>
      <c r="J100" s="185">
        <f>J101+J104+J106</f>
        <v>225362.74</v>
      </c>
      <c r="K100" s="600"/>
      <c r="L100" s="600"/>
      <c r="M100" s="600"/>
      <c r="N100" s="600"/>
      <c r="O100" s="600"/>
      <c r="P100" s="600"/>
      <c r="Q100" s="600"/>
      <c r="R100" s="600"/>
      <c r="S100" s="600"/>
      <c r="T100" s="600"/>
      <c r="U100" s="600"/>
      <c r="V100" s="600"/>
      <c r="W100" s="600"/>
      <c r="X100" s="600"/>
      <c r="Y100" s="600"/>
      <c r="Z100" s="600"/>
      <c r="AA100" s="600"/>
    </row>
    <row r="101" spans="1:27" x14ac:dyDescent="0.25">
      <c r="A101" s="607"/>
      <c r="B101" s="455"/>
      <c r="C101" s="762" t="s">
        <v>306</v>
      </c>
      <c r="D101" s="762" t="s">
        <v>306</v>
      </c>
      <c r="E101" s="882" t="s">
        <v>1372</v>
      </c>
      <c r="F101" s="455" t="s">
        <v>479</v>
      </c>
      <c r="G101" s="687"/>
      <c r="H101" s="54"/>
      <c r="I101" s="3"/>
      <c r="J101" s="54">
        <f>SUM(J102:J103)</f>
        <v>7185</v>
      </c>
      <c r="K101" s="600"/>
      <c r="L101" s="600"/>
      <c r="M101" s="600"/>
      <c r="N101" s="600"/>
      <c r="O101" s="600"/>
      <c r="P101" s="600"/>
      <c r="Q101" s="600"/>
      <c r="R101" s="600"/>
      <c r="S101" s="600"/>
      <c r="T101" s="600"/>
      <c r="U101" s="600"/>
      <c r="V101" s="600"/>
      <c r="W101" s="600"/>
      <c r="X101" s="600"/>
      <c r="Y101" s="600"/>
      <c r="Z101" s="600"/>
      <c r="AA101" s="600"/>
    </row>
    <row r="102" spans="1:27" x14ac:dyDescent="0.25">
      <c r="A102" s="396"/>
      <c r="B102" s="731"/>
      <c r="C102" s="670" t="s">
        <v>306</v>
      </c>
      <c r="D102" s="349" t="s">
        <v>496</v>
      </c>
      <c r="E102" s="255" t="str">
        <f>" - " &amp; 'Giá VL'!E13</f>
        <v xml:space="preserve"> - Lưỡi cắt D350mm</v>
      </c>
      <c r="F102" s="731" t="str">
        <f>'Giá VL'!F13</f>
        <v>cái</v>
      </c>
      <c r="G102" s="189">
        <f>PTVT!G120</f>
        <v>0.13200000000000001</v>
      </c>
      <c r="H102" s="843">
        <f>'Giá VL'!V13</f>
        <v>45000</v>
      </c>
      <c r="I102" s="282">
        <f>'Tiên lượng'!V35</f>
        <v>1</v>
      </c>
      <c r="J102" s="843">
        <f t="shared" ref="J102:J103" si="9">PRODUCT(G102,H102,I102)</f>
        <v>5940</v>
      </c>
      <c r="K102" s="600"/>
      <c r="L102" s="600"/>
      <c r="M102" s="600"/>
      <c r="N102" s="600"/>
      <c r="O102" s="600"/>
      <c r="P102" s="600"/>
      <c r="Q102" s="600"/>
      <c r="R102" s="600"/>
      <c r="S102" s="600"/>
      <c r="T102" s="600"/>
      <c r="U102" s="600"/>
      <c r="V102" s="600"/>
      <c r="W102" s="600"/>
      <c r="X102" s="600"/>
      <c r="Y102" s="600"/>
      <c r="Z102" s="600"/>
      <c r="AA102" s="600"/>
    </row>
    <row r="103" spans="1:27" x14ac:dyDescent="0.25">
      <c r="A103" s="396"/>
      <c r="B103" s="731"/>
      <c r="C103" s="670" t="s">
        <v>306</v>
      </c>
      <c r="D103" s="349" t="s">
        <v>444</v>
      </c>
      <c r="E103" s="255" t="str">
        <f>" - " &amp; 'Giá VL'!E16</f>
        <v xml:space="preserve"> - Nước</v>
      </c>
      <c r="F103" s="731" t="str">
        <f>'Giá VL'!F16</f>
        <v>m3</v>
      </c>
      <c r="G103" s="189">
        <f>PTVT!G121</f>
        <v>8.3000000000000004E-2</v>
      </c>
      <c r="H103" s="843">
        <f>'Giá VL'!V16</f>
        <v>15000</v>
      </c>
      <c r="I103" s="282">
        <f>'Tiên lượng'!V35</f>
        <v>1</v>
      </c>
      <c r="J103" s="843">
        <f t="shared" si="9"/>
        <v>1245</v>
      </c>
      <c r="K103" s="600"/>
      <c r="L103" s="600"/>
      <c r="M103" s="600"/>
      <c r="N103" s="600"/>
      <c r="O103" s="600"/>
      <c r="P103" s="600"/>
      <c r="Q103" s="600"/>
      <c r="R103" s="600"/>
      <c r="S103" s="600"/>
      <c r="T103" s="600"/>
      <c r="U103" s="600"/>
      <c r="V103" s="600"/>
      <c r="W103" s="600"/>
      <c r="X103" s="600"/>
      <c r="Y103" s="600"/>
      <c r="Z103" s="600"/>
      <c r="AA103" s="600"/>
    </row>
    <row r="104" spans="1:27" x14ac:dyDescent="0.25">
      <c r="A104" s="607"/>
      <c r="B104" s="455"/>
      <c r="C104" s="762" t="s">
        <v>306</v>
      </c>
      <c r="D104" s="762" t="s">
        <v>306</v>
      </c>
      <c r="E104" s="882" t="s">
        <v>890</v>
      </c>
      <c r="F104" s="455" t="s">
        <v>125</v>
      </c>
      <c r="G104" s="687"/>
      <c r="H104" s="54"/>
      <c r="I104" s="3"/>
      <c r="J104" s="54">
        <f>SUM(J105:J105)</f>
        <v>148500</v>
      </c>
      <c r="K104" s="600"/>
      <c r="L104" s="600"/>
      <c r="M104" s="600"/>
      <c r="N104" s="600"/>
      <c r="O104" s="600"/>
      <c r="P104" s="600"/>
      <c r="Q104" s="600"/>
      <c r="R104" s="600"/>
      <c r="S104" s="600"/>
      <c r="T104" s="600"/>
      <c r="U104" s="600"/>
      <c r="V104" s="600"/>
      <c r="W104" s="600"/>
      <c r="X104" s="600"/>
      <c r="Y104" s="600"/>
      <c r="Z104" s="600"/>
      <c r="AA104" s="600"/>
    </row>
    <row r="105" spans="1:27" x14ac:dyDescent="0.25">
      <c r="A105" s="396"/>
      <c r="B105" s="731"/>
      <c r="C105" s="670" t="s">
        <v>306</v>
      </c>
      <c r="D105" s="349" t="s">
        <v>1055</v>
      </c>
      <c r="E105" s="255" t="str">
        <f>" - " &amp; 'Giá NC'!E7</f>
        <v xml:space="preserve"> - Nhân công bậc 3,5/7 - Nhóm 2</v>
      </c>
      <c r="F105" s="731" t="str">
        <f>'Giá NC'!F7</f>
        <v>công</v>
      </c>
      <c r="G105" s="189">
        <f>PTVT!G123</f>
        <v>0.55000000000000004</v>
      </c>
      <c r="H105" s="843">
        <f>'Giá NC'!K7</f>
        <v>270000</v>
      </c>
      <c r="I105" s="282">
        <f>'Tiên lượng'!W35</f>
        <v>1</v>
      </c>
      <c r="J105" s="843">
        <f>PRODUCT(G105,H105,I105)</f>
        <v>148500</v>
      </c>
      <c r="K105" s="600"/>
      <c r="L105" s="600"/>
      <c r="M105" s="600"/>
      <c r="N105" s="600"/>
      <c r="O105" s="600"/>
      <c r="P105" s="600"/>
      <c r="Q105" s="600"/>
      <c r="R105" s="600"/>
      <c r="S105" s="600"/>
      <c r="T105" s="600"/>
      <c r="U105" s="600"/>
      <c r="V105" s="600"/>
      <c r="W105" s="600"/>
      <c r="X105" s="600"/>
      <c r="Y105" s="600"/>
      <c r="Z105" s="600"/>
      <c r="AA105" s="600"/>
    </row>
    <row r="106" spans="1:27" x14ac:dyDescent="0.25">
      <c r="A106" s="607"/>
      <c r="B106" s="455"/>
      <c r="C106" s="762" t="s">
        <v>306</v>
      </c>
      <c r="D106" s="762" t="s">
        <v>306</v>
      </c>
      <c r="E106" s="882" t="s">
        <v>556</v>
      </c>
      <c r="F106" s="455" t="s">
        <v>539</v>
      </c>
      <c r="G106" s="687"/>
      <c r="H106" s="54"/>
      <c r="I106" s="3"/>
      <c r="J106" s="54">
        <f>SUM(J107:J107)</f>
        <v>69677.740000000005</v>
      </c>
      <c r="K106" s="600"/>
      <c r="L106" s="600"/>
      <c r="M106" s="600"/>
      <c r="N106" s="600"/>
      <c r="O106" s="600"/>
      <c r="P106" s="600"/>
      <c r="Q106" s="600"/>
      <c r="R106" s="600"/>
      <c r="S106" s="600"/>
      <c r="T106" s="600"/>
      <c r="U106" s="600"/>
      <c r="V106" s="600"/>
      <c r="W106" s="600"/>
      <c r="X106" s="600"/>
      <c r="Y106" s="600"/>
      <c r="Z106" s="600"/>
      <c r="AA106" s="600"/>
    </row>
    <row r="107" spans="1:27" x14ac:dyDescent="0.25">
      <c r="A107" s="419"/>
      <c r="B107" s="377"/>
      <c r="C107" s="682" t="s">
        <v>306</v>
      </c>
      <c r="D107" s="884" t="s">
        <v>369</v>
      </c>
      <c r="E107" s="798" t="str">
        <f>" - " &amp; 'Giá Máy'!E7</f>
        <v xml:space="preserve"> - Máy cắt bê tông 7,5kW</v>
      </c>
      <c r="F107" s="377" t="str">
        <f>'Giá Máy'!F7</f>
        <v>ca</v>
      </c>
      <c r="G107" s="208">
        <f>PTVT!G125</f>
        <v>0.22</v>
      </c>
      <c r="H107" s="862">
        <f>'Giá Máy'!O7</f>
        <v>316717</v>
      </c>
      <c r="I107" s="824">
        <f>'Tiên lượng'!X35</f>
        <v>1</v>
      </c>
      <c r="J107" s="862">
        <f>PRODUCT(G107,H107,I107)</f>
        <v>69677.740000000005</v>
      </c>
      <c r="K107" s="600"/>
      <c r="L107" s="600"/>
      <c r="M107" s="600"/>
      <c r="N107" s="600"/>
      <c r="O107" s="600"/>
      <c r="P107" s="600"/>
      <c r="Q107" s="600"/>
      <c r="R107" s="600"/>
      <c r="S107" s="600"/>
      <c r="T107" s="600"/>
      <c r="U107" s="600"/>
      <c r="V107" s="600"/>
      <c r="W107" s="600"/>
      <c r="X107" s="600"/>
      <c r="Y107" s="600"/>
      <c r="Z107" s="600"/>
      <c r="AA107" s="600"/>
    </row>
    <row r="108" spans="1:27" x14ac:dyDescent="0.25">
      <c r="A108" s="477"/>
      <c r="B108" s="250">
        <v>18</v>
      </c>
      <c r="C108" s="190" t="str">
        <f>'Tiên lượng'!C37</f>
        <v>TT</v>
      </c>
      <c r="D108" s="190" t="str">
        <f>'Tiên lượng'!C37</f>
        <v>TT</v>
      </c>
      <c r="E108" s="690" t="str">
        <f>'Tiên lượng'!D37</f>
        <v>Công tác đánh bóng mặt đường bằng máy</v>
      </c>
      <c r="F108" s="250" t="str">
        <f>'Tiên lượng'!E37</f>
        <v>m2</v>
      </c>
      <c r="G108" s="83"/>
      <c r="H108" s="21"/>
      <c r="I108" s="371"/>
      <c r="J108" s="185">
        <f>J109+J111</f>
        <v>17000</v>
      </c>
      <c r="K108" s="600"/>
      <c r="L108" s="600"/>
      <c r="M108" s="600"/>
      <c r="N108" s="600"/>
      <c r="O108" s="600"/>
      <c r="P108" s="600"/>
      <c r="Q108" s="600"/>
      <c r="R108" s="600"/>
      <c r="S108" s="600"/>
      <c r="T108" s="600"/>
      <c r="U108" s="600"/>
      <c r="V108" s="600"/>
      <c r="W108" s="600"/>
      <c r="X108" s="600"/>
      <c r="Y108" s="600"/>
      <c r="Z108" s="600"/>
      <c r="AA108" s="600"/>
    </row>
    <row r="109" spans="1:27" x14ac:dyDescent="0.25">
      <c r="A109" s="607"/>
      <c r="B109" s="455"/>
      <c r="C109" s="762" t="s">
        <v>306</v>
      </c>
      <c r="D109" s="762" t="s">
        <v>306</v>
      </c>
      <c r="E109" s="882" t="s">
        <v>1372</v>
      </c>
      <c r="F109" s="455" t="s">
        <v>479</v>
      </c>
      <c r="G109" s="687"/>
      <c r="H109" s="54"/>
      <c r="I109" s="3"/>
      <c r="J109" s="54">
        <f>SUM(J110:J110)</f>
        <v>5000</v>
      </c>
      <c r="K109" s="600"/>
      <c r="L109" s="600"/>
      <c r="M109" s="600"/>
      <c r="N109" s="600"/>
      <c r="O109" s="600"/>
      <c r="P109" s="600"/>
      <c r="Q109" s="600"/>
      <c r="R109" s="600"/>
      <c r="S109" s="600"/>
      <c r="T109" s="600"/>
      <c r="U109" s="600"/>
      <c r="V109" s="600"/>
      <c r="W109" s="600"/>
      <c r="X109" s="600"/>
      <c r="Y109" s="600"/>
      <c r="Z109" s="600"/>
      <c r="AA109" s="600"/>
    </row>
    <row r="110" spans="1:27" x14ac:dyDescent="0.25">
      <c r="A110" s="396"/>
      <c r="B110" s="731"/>
      <c r="C110" s="670" t="s">
        <v>306</v>
      </c>
      <c r="D110" s="349" t="s">
        <v>306</v>
      </c>
      <c r="E110" s="255" t="s">
        <v>854</v>
      </c>
      <c r="F110" s="731" t="s">
        <v>1258</v>
      </c>
      <c r="G110" s="189">
        <f>PTVT!G128</f>
        <v>1</v>
      </c>
      <c r="H110" s="843">
        <f>'Tiên lượng'!N37</f>
        <v>5000</v>
      </c>
      <c r="I110" s="282">
        <f>'Tiên lượng'!V37</f>
        <v>1</v>
      </c>
      <c r="J110" s="843">
        <f>PRODUCT(G110,H110,I110)</f>
        <v>5000</v>
      </c>
      <c r="K110" s="600"/>
      <c r="L110" s="600"/>
      <c r="M110" s="600"/>
      <c r="N110" s="600"/>
      <c r="O110" s="600"/>
      <c r="P110" s="600"/>
      <c r="Q110" s="600"/>
      <c r="R110" s="600"/>
      <c r="S110" s="600"/>
      <c r="T110" s="600"/>
      <c r="U110" s="600"/>
      <c r="V110" s="600"/>
      <c r="W110" s="600"/>
      <c r="X110" s="600"/>
      <c r="Y110" s="600"/>
      <c r="Z110" s="600"/>
      <c r="AA110" s="600"/>
    </row>
    <row r="111" spans="1:27" x14ac:dyDescent="0.25">
      <c r="A111" s="607"/>
      <c r="B111" s="455"/>
      <c r="C111" s="762" t="s">
        <v>306</v>
      </c>
      <c r="D111" s="762" t="s">
        <v>306</v>
      </c>
      <c r="E111" s="882" t="s">
        <v>890</v>
      </c>
      <c r="F111" s="455" t="s">
        <v>125</v>
      </c>
      <c r="G111" s="687"/>
      <c r="H111" s="54"/>
      <c r="I111" s="3"/>
      <c r="J111" s="54">
        <f>SUM(J112:J112)</f>
        <v>12000</v>
      </c>
      <c r="K111" s="600"/>
      <c r="L111" s="600"/>
      <c r="M111" s="600"/>
      <c r="N111" s="600"/>
      <c r="O111" s="600"/>
      <c r="P111" s="600"/>
      <c r="Q111" s="600"/>
      <c r="R111" s="600"/>
      <c r="S111" s="600"/>
      <c r="T111" s="600"/>
      <c r="U111" s="600"/>
      <c r="V111" s="600"/>
      <c r="W111" s="600"/>
      <c r="X111" s="600"/>
      <c r="Y111" s="600"/>
      <c r="Z111" s="600"/>
      <c r="AA111" s="600"/>
    </row>
    <row r="112" spans="1:27" x14ac:dyDescent="0.25">
      <c r="A112" s="419"/>
      <c r="B112" s="377"/>
      <c r="C112" s="682" t="s">
        <v>306</v>
      </c>
      <c r="D112" s="884" t="s">
        <v>306</v>
      </c>
      <c r="E112" s="798" t="s">
        <v>663</v>
      </c>
      <c r="F112" s="377" t="s">
        <v>239</v>
      </c>
      <c r="G112" s="208">
        <f>PTVT!G67</f>
        <v>1</v>
      </c>
      <c r="H112" s="862">
        <f>'Tiên lượng'!P37</f>
        <v>12000</v>
      </c>
      <c r="I112" s="824">
        <f>'Tiên lượng'!W37</f>
        <v>1</v>
      </c>
      <c r="J112" s="862">
        <f>PRODUCT(G112,H112,I112)</f>
        <v>12000</v>
      </c>
      <c r="K112" s="600"/>
      <c r="L112" s="600"/>
      <c r="M112" s="600"/>
      <c r="N112" s="600"/>
      <c r="O112" s="600"/>
      <c r="P112" s="600"/>
      <c r="Q112" s="600"/>
      <c r="R112" s="600"/>
      <c r="S112" s="600"/>
      <c r="T112" s="600"/>
      <c r="U112" s="600"/>
      <c r="V112" s="600"/>
      <c r="W112" s="600"/>
      <c r="X112" s="600"/>
      <c r="Y112" s="600"/>
      <c r="Z112" s="600"/>
      <c r="AA112" s="600"/>
    </row>
    <row r="113" spans="1:27" x14ac:dyDescent="0.25">
      <c r="A113" s="477"/>
      <c r="B113" s="250">
        <v>19</v>
      </c>
      <c r="C113" s="190" t="str">
        <f>'Tiên lượng'!C40</f>
        <v>AB.27103</v>
      </c>
      <c r="D113" s="190" t="str">
        <f>'Tiên lượng'!C40</f>
        <v>AB.27103</v>
      </c>
      <c r="E113" s="690" t="str">
        <f>'Tiên lượng'!D40</f>
        <v>Đào kênh mương, chiều rộng kênh mương ≤6m bằng máy đào 0,4m3 - Cấp đất III</v>
      </c>
      <c r="F113" s="250" t="str">
        <f>'Tiên lượng'!E40</f>
        <v>100m3</v>
      </c>
      <c r="G113" s="83"/>
      <c r="H113" s="21"/>
      <c r="I113" s="371"/>
      <c r="J113" s="185">
        <f>J114+J116</f>
        <v>3934683.62</v>
      </c>
      <c r="K113" s="600"/>
      <c r="L113" s="600"/>
      <c r="M113" s="600"/>
      <c r="N113" s="600"/>
      <c r="O113" s="600"/>
      <c r="P113" s="600"/>
      <c r="Q113" s="600"/>
      <c r="R113" s="600"/>
      <c r="S113" s="600"/>
      <c r="T113" s="600"/>
      <c r="U113" s="600"/>
      <c r="V113" s="600"/>
      <c r="W113" s="600"/>
      <c r="X113" s="600"/>
      <c r="Y113" s="600"/>
      <c r="Z113" s="600"/>
      <c r="AA113" s="600"/>
    </row>
    <row r="114" spans="1:27" x14ac:dyDescent="0.25">
      <c r="A114" s="607"/>
      <c r="B114" s="455"/>
      <c r="C114" s="762" t="s">
        <v>306</v>
      </c>
      <c r="D114" s="762" t="s">
        <v>306</v>
      </c>
      <c r="E114" s="882" t="s">
        <v>890</v>
      </c>
      <c r="F114" s="455" t="s">
        <v>125</v>
      </c>
      <c r="G114" s="687"/>
      <c r="H114" s="54"/>
      <c r="I114" s="3"/>
      <c r="J114" s="54">
        <f>SUM(J115:J115)</f>
        <v>1392283.6199999999</v>
      </c>
      <c r="K114" s="600"/>
      <c r="L114" s="600"/>
      <c r="M114" s="600"/>
      <c r="N114" s="600"/>
      <c r="O114" s="600"/>
      <c r="P114" s="600"/>
      <c r="Q114" s="600"/>
      <c r="R114" s="600"/>
      <c r="S114" s="600"/>
      <c r="T114" s="600"/>
      <c r="U114" s="600"/>
      <c r="V114" s="600"/>
      <c r="W114" s="600"/>
      <c r="X114" s="600"/>
      <c r="Y114" s="600"/>
      <c r="Z114" s="600"/>
      <c r="AA114" s="600"/>
    </row>
    <row r="115" spans="1:27" x14ac:dyDescent="0.25">
      <c r="A115" s="396"/>
      <c r="B115" s="731"/>
      <c r="C115" s="670" t="s">
        <v>306</v>
      </c>
      <c r="D115" s="349" t="s">
        <v>591</v>
      </c>
      <c r="E115" s="255" t="str">
        <f>" - " &amp; 'Giá NC'!E5</f>
        <v xml:space="preserve"> - Nhân công bậc 3,0/7 - Nhóm 1</v>
      </c>
      <c r="F115" s="731" t="str">
        <f>'Giá NC'!F5</f>
        <v>công</v>
      </c>
      <c r="G115" s="189">
        <f>PTVT!G135</f>
        <v>6.09</v>
      </c>
      <c r="H115" s="843">
        <f>'Giá NC'!K5</f>
        <v>228618</v>
      </c>
      <c r="I115" s="282">
        <f>'Tiên lượng'!W40</f>
        <v>1</v>
      </c>
      <c r="J115" s="843">
        <f>PRODUCT(G115,H115,I115)</f>
        <v>1392283.6199999999</v>
      </c>
      <c r="K115" s="600"/>
      <c r="L115" s="600"/>
      <c r="M115" s="600"/>
      <c r="N115" s="600"/>
      <c r="O115" s="600"/>
      <c r="P115" s="600"/>
      <c r="Q115" s="600"/>
      <c r="R115" s="600"/>
      <c r="S115" s="600"/>
      <c r="T115" s="600"/>
      <c r="U115" s="600"/>
      <c r="V115" s="600"/>
      <c r="W115" s="600"/>
      <c r="X115" s="600"/>
      <c r="Y115" s="600"/>
      <c r="Z115" s="600"/>
      <c r="AA115" s="600"/>
    </row>
    <row r="116" spans="1:27" x14ac:dyDescent="0.25">
      <c r="A116" s="607"/>
      <c r="B116" s="455"/>
      <c r="C116" s="762" t="s">
        <v>306</v>
      </c>
      <c r="D116" s="762" t="s">
        <v>306</v>
      </c>
      <c r="E116" s="882" t="s">
        <v>556</v>
      </c>
      <c r="F116" s="455" t="s">
        <v>539</v>
      </c>
      <c r="G116" s="687"/>
      <c r="H116" s="54"/>
      <c r="I116" s="3"/>
      <c r="J116" s="54">
        <f>SUM(J117:J117)</f>
        <v>2542400</v>
      </c>
      <c r="K116" s="600"/>
      <c r="L116" s="600"/>
      <c r="M116" s="600"/>
      <c r="N116" s="600"/>
      <c r="O116" s="600"/>
      <c r="P116" s="600"/>
      <c r="Q116" s="600"/>
      <c r="R116" s="600"/>
      <c r="S116" s="600"/>
      <c r="T116" s="600"/>
      <c r="U116" s="600"/>
      <c r="V116" s="600"/>
      <c r="W116" s="600"/>
      <c r="X116" s="600"/>
      <c r="Y116" s="600"/>
      <c r="Z116" s="600"/>
      <c r="AA116" s="600"/>
    </row>
    <row r="117" spans="1:27" x14ac:dyDescent="0.25">
      <c r="A117" s="419"/>
      <c r="B117" s="377"/>
      <c r="C117" s="682" t="s">
        <v>306</v>
      </c>
      <c r="D117" s="884" t="s">
        <v>921</v>
      </c>
      <c r="E117" s="798" t="str">
        <f>" - " &amp; 'Giá Máy'!E11</f>
        <v xml:space="preserve"> - Máy đào 0,4m3</v>
      </c>
      <c r="F117" s="377" t="str">
        <f>'Giá Máy'!F11</f>
        <v>ca</v>
      </c>
      <c r="G117" s="208">
        <f>PTVT!G137</f>
        <v>0.90800000000000003</v>
      </c>
      <c r="H117" s="862">
        <f>'Giá Máy'!O11</f>
        <v>2800000</v>
      </c>
      <c r="I117" s="824">
        <f>'Tiên lượng'!X40</f>
        <v>1</v>
      </c>
      <c r="J117" s="862">
        <f>PRODUCT(G117,H117,I117)</f>
        <v>2542400</v>
      </c>
      <c r="K117" s="600"/>
      <c r="L117" s="600"/>
      <c r="M117" s="600"/>
      <c r="N117" s="600"/>
      <c r="O117" s="600"/>
      <c r="P117" s="600"/>
      <c r="Q117" s="600"/>
      <c r="R117" s="600"/>
      <c r="S117" s="600"/>
      <c r="T117" s="600"/>
      <c r="U117" s="600"/>
      <c r="V117" s="600"/>
      <c r="W117" s="600"/>
      <c r="X117" s="600"/>
      <c r="Y117" s="600"/>
      <c r="Z117" s="600"/>
      <c r="AA117" s="600"/>
    </row>
    <row r="118" spans="1:27" x14ac:dyDescent="0.25">
      <c r="A118" s="477"/>
      <c r="B118" s="250">
        <v>20</v>
      </c>
      <c r="C118" s="190" t="str">
        <f>'Tiên lượng'!C42</f>
        <v>AB.11503</v>
      </c>
      <c r="D118" s="190" t="str">
        <f>'Tiên lượng'!C42</f>
        <v>AB.11503</v>
      </c>
      <c r="E118" s="690" t="str">
        <f>'Tiên lượng'!D42</f>
        <v>Đào kênh mương, rãnh thoát nước, đường ống, đường cáp bằng thủ công, rộng ≤1m, sâu ≤1m - Cấp đất III</v>
      </c>
      <c r="F118" s="250" t="str">
        <f>'Tiên lượng'!E42</f>
        <v>1m3</v>
      </c>
      <c r="G118" s="83"/>
      <c r="H118" s="21"/>
      <c r="I118" s="371"/>
      <c r="J118" s="185">
        <f>J119</f>
        <v>370361.16000000003</v>
      </c>
      <c r="K118" s="600"/>
      <c r="L118" s="600"/>
      <c r="M118" s="600"/>
      <c r="N118" s="600"/>
      <c r="O118" s="600"/>
      <c r="P118" s="600"/>
      <c r="Q118" s="600"/>
      <c r="R118" s="600"/>
      <c r="S118" s="600"/>
      <c r="T118" s="600"/>
      <c r="U118" s="600"/>
      <c r="V118" s="600"/>
      <c r="W118" s="600"/>
      <c r="X118" s="600"/>
      <c r="Y118" s="600"/>
      <c r="Z118" s="600"/>
      <c r="AA118" s="600"/>
    </row>
    <row r="119" spans="1:27" x14ac:dyDescent="0.25">
      <c r="A119" s="607"/>
      <c r="B119" s="455"/>
      <c r="C119" s="762" t="s">
        <v>306</v>
      </c>
      <c r="D119" s="762" t="s">
        <v>306</v>
      </c>
      <c r="E119" s="882" t="s">
        <v>890</v>
      </c>
      <c r="F119" s="455" t="s">
        <v>125</v>
      </c>
      <c r="G119" s="687"/>
      <c r="H119" s="54"/>
      <c r="I119" s="3"/>
      <c r="J119" s="54">
        <f>SUM(J120:J120)</f>
        <v>370361.16000000003</v>
      </c>
      <c r="K119" s="600"/>
      <c r="L119" s="600"/>
      <c r="M119" s="600"/>
      <c r="N119" s="600"/>
      <c r="O119" s="600"/>
      <c r="P119" s="600"/>
      <c r="Q119" s="600"/>
      <c r="R119" s="600"/>
      <c r="S119" s="600"/>
      <c r="T119" s="600"/>
      <c r="U119" s="600"/>
      <c r="V119" s="600"/>
      <c r="W119" s="600"/>
      <c r="X119" s="600"/>
      <c r="Y119" s="600"/>
      <c r="Z119" s="600"/>
      <c r="AA119" s="600"/>
    </row>
    <row r="120" spans="1:27" x14ac:dyDescent="0.25">
      <c r="A120" s="419"/>
      <c r="B120" s="377"/>
      <c r="C120" s="682" t="s">
        <v>306</v>
      </c>
      <c r="D120" s="884" t="s">
        <v>591</v>
      </c>
      <c r="E120" s="798" t="str">
        <f>" - " &amp; 'Giá NC'!E5</f>
        <v xml:space="preserve"> - Nhân công bậc 3,0/7 - Nhóm 1</v>
      </c>
      <c r="F120" s="377" t="str">
        <f>'Giá NC'!F5</f>
        <v>công</v>
      </c>
      <c r="G120" s="208">
        <f>PTVT!G140</f>
        <v>1.62</v>
      </c>
      <c r="H120" s="862">
        <f>'Giá NC'!K5</f>
        <v>228618</v>
      </c>
      <c r="I120" s="824">
        <f>'Tiên lượng'!W42</f>
        <v>1</v>
      </c>
      <c r="J120" s="862">
        <f>PRODUCT(G120,H120,I120)</f>
        <v>370361.16000000003</v>
      </c>
      <c r="K120" s="600"/>
      <c r="L120" s="600"/>
      <c r="M120" s="600"/>
      <c r="N120" s="600"/>
      <c r="O120" s="600"/>
      <c r="P120" s="600"/>
      <c r="Q120" s="600"/>
      <c r="R120" s="600"/>
      <c r="S120" s="600"/>
      <c r="T120" s="600"/>
      <c r="U120" s="600"/>
      <c r="V120" s="600"/>
      <c r="W120" s="600"/>
      <c r="X120" s="600"/>
      <c r="Y120" s="600"/>
      <c r="Z120" s="600"/>
      <c r="AA120" s="600"/>
    </row>
    <row r="121" spans="1:27" x14ac:dyDescent="0.25">
      <c r="A121" s="477"/>
      <c r="B121" s="250">
        <v>21</v>
      </c>
      <c r="C121" s="190" t="str">
        <f>'Tiên lượng'!C44</f>
        <v>TT</v>
      </c>
      <c r="D121" s="190" t="str">
        <f>'Tiên lượng'!C44</f>
        <v>TT</v>
      </c>
      <c r="E121" s="690" t="str">
        <f>'Tiên lượng'!D44</f>
        <v>Ô tô vận chuyển đất đi đổ</v>
      </c>
      <c r="F121" s="250" t="str">
        <f>'Tiên lượng'!E44</f>
        <v>ca</v>
      </c>
      <c r="G121" s="83"/>
      <c r="H121" s="21"/>
      <c r="I121" s="371"/>
      <c r="J121" s="185">
        <f>J122</f>
        <v>2000000</v>
      </c>
      <c r="K121" s="600"/>
      <c r="L121" s="600"/>
      <c r="M121" s="600"/>
      <c r="N121" s="600"/>
      <c r="O121" s="600"/>
      <c r="P121" s="600"/>
      <c r="Q121" s="600"/>
      <c r="R121" s="600"/>
      <c r="S121" s="600"/>
      <c r="T121" s="600"/>
      <c r="U121" s="600"/>
      <c r="V121" s="600"/>
      <c r="W121" s="600"/>
      <c r="X121" s="600"/>
      <c r="Y121" s="600"/>
      <c r="Z121" s="600"/>
      <c r="AA121" s="600"/>
    </row>
    <row r="122" spans="1:27" x14ac:dyDescent="0.25">
      <c r="A122" s="607"/>
      <c r="B122" s="455"/>
      <c r="C122" s="762" t="s">
        <v>306</v>
      </c>
      <c r="D122" s="762" t="s">
        <v>306</v>
      </c>
      <c r="E122" s="882" t="s">
        <v>556</v>
      </c>
      <c r="F122" s="455" t="s">
        <v>539</v>
      </c>
      <c r="G122" s="687"/>
      <c r="H122" s="54"/>
      <c r="I122" s="3"/>
      <c r="J122" s="54">
        <f>SUM(J123:J123)</f>
        <v>2000000</v>
      </c>
      <c r="K122" s="600"/>
      <c r="L122" s="600"/>
      <c r="M122" s="600"/>
      <c r="N122" s="600"/>
      <c r="O122" s="600"/>
      <c r="P122" s="600"/>
      <c r="Q122" s="600"/>
      <c r="R122" s="600"/>
      <c r="S122" s="600"/>
      <c r="T122" s="600"/>
      <c r="U122" s="600"/>
      <c r="V122" s="600"/>
      <c r="W122" s="600"/>
      <c r="X122" s="600"/>
      <c r="Y122" s="600"/>
      <c r="Z122" s="600"/>
      <c r="AA122" s="600"/>
    </row>
    <row r="123" spans="1:27" x14ac:dyDescent="0.25">
      <c r="A123" s="419"/>
      <c r="B123" s="377"/>
      <c r="C123" s="682" t="s">
        <v>306</v>
      </c>
      <c r="D123" s="884" t="s">
        <v>306</v>
      </c>
      <c r="E123" s="798" t="s">
        <v>1228</v>
      </c>
      <c r="F123" s="377" t="s">
        <v>1272</v>
      </c>
      <c r="G123" s="208">
        <f>PTVT!G147</f>
        <v>1</v>
      </c>
      <c r="H123" s="862">
        <f>'Tiên lượng'!Q44</f>
        <v>2000000</v>
      </c>
      <c r="I123" s="824">
        <f>'Tiên lượng'!X44</f>
        <v>1</v>
      </c>
      <c r="J123" s="862">
        <f>PRODUCT(G123,H123,I123)</f>
        <v>2000000</v>
      </c>
      <c r="K123" s="600"/>
      <c r="L123" s="600"/>
      <c r="M123" s="600"/>
      <c r="N123" s="600"/>
      <c r="O123" s="600"/>
      <c r="P123" s="600"/>
      <c r="Q123" s="600"/>
      <c r="R123" s="600"/>
      <c r="S123" s="600"/>
      <c r="T123" s="600"/>
      <c r="U123" s="600"/>
      <c r="V123" s="600"/>
      <c r="W123" s="600"/>
      <c r="X123" s="600"/>
      <c r="Y123" s="600"/>
      <c r="Z123" s="600"/>
      <c r="AA123" s="600"/>
    </row>
    <row r="124" spans="1:27" x14ac:dyDescent="0.25">
      <c r="A124" s="477"/>
      <c r="B124" s="250">
        <v>22</v>
      </c>
      <c r="C124" s="190" t="str">
        <f>'Tiên lượng'!C45</f>
        <v>SF.11311.VD</v>
      </c>
      <c r="D124" s="190" t="str">
        <f>'Tiên lượng'!C45</f>
        <v>SF.11311.VD</v>
      </c>
      <c r="E124" s="690" t="str">
        <f>'Tiên lượng'!D45</f>
        <v>Đắp phụ nền, lề đường bằng Đá dăm cấp phối loại II (Subbase)</v>
      </c>
      <c r="F124" s="250" t="str">
        <f>'Tiên lượng'!E45</f>
        <v>m3</v>
      </c>
      <c r="G124" s="83"/>
      <c r="H124" s="21"/>
      <c r="I124" s="371"/>
      <c r="J124" s="185">
        <f>J125+J127+J129</f>
        <v>674978.53624789999</v>
      </c>
      <c r="K124" s="600"/>
      <c r="L124" s="600"/>
      <c r="M124" s="600"/>
      <c r="N124" s="600"/>
      <c r="O124" s="600"/>
      <c r="P124" s="600"/>
      <c r="Q124" s="600"/>
      <c r="R124" s="600"/>
      <c r="S124" s="600"/>
      <c r="T124" s="600"/>
      <c r="U124" s="600"/>
      <c r="V124" s="600"/>
      <c r="W124" s="600"/>
      <c r="X124" s="600"/>
      <c r="Y124" s="600"/>
      <c r="Z124" s="600"/>
      <c r="AA124" s="600"/>
    </row>
    <row r="125" spans="1:27" x14ac:dyDescent="0.25">
      <c r="A125" s="607"/>
      <c r="B125" s="455"/>
      <c r="C125" s="762" t="s">
        <v>306</v>
      </c>
      <c r="D125" s="762" t="s">
        <v>306</v>
      </c>
      <c r="E125" s="882" t="s">
        <v>1372</v>
      </c>
      <c r="F125" s="455" t="s">
        <v>479</v>
      </c>
      <c r="G125" s="687"/>
      <c r="H125" s="54"/>
      <c r="I125" s="3"/>
      <c r="J125" s="54">
        <f>SUM(J126:J126)</f>
        <v>564978.53624789999</v>
      </c>
      <c r="K125" s="600"/>
      <c r="L125" s="600"/>
      <c r="M125" s="600"/>
      <c r="N125" s="600"/>
      <c r="O125" s="600"/>
      <c r="P125" s="600"/>
      <c r="Q125" s="600"/>
      <c r="R125" s="600"/>
      <c r="S125" s="600"/>
      <c r="T125" s="600"/>
      <c r="U125" s="600"/>
      <c r="V125" s="600"/>
      <c r="W125" s="600"/>
      <c r="X125" s="600"/>
      <c r="Y125" s="600"/>
      <c r="Z125" s="600"/>
      <c r="AA125" s="600"/>
    </row>
    <row r="126" spans="1:27" x14ac:dyDescent="0.25">
      <c r="A126" s="396"/>
      <c r="B126" s="731"/>
      <c r="C126" s="670" t="s">
        <v>306</v>
      </c>
      <c r="D126" s="349" t="s">
        <v>142</v>
      </c>
      <c r="E126" s="255" t="str">
        <f>" - " &amp; 'Giá VL'!E8</f>
        <v xml:space="preserve"> - Đá Base B</v>
      </c>
      <c r="F126" s="731" t="str">
        <f>'Giá VL'!F8</f>
        <v>m3</v>
      </c>
      <c r="G126" s="189">
        <f>PTVT!G150</f>
        <v>1.425</v>
      </c>
      <c r="H126" s="843">
        <f>'Giá VL'!V8</f>
        <v>396476.16578799998</v>
      </c>
      <c r="I126" s="282">
        <f>'Tiên lượng'!V45</f>
        <v>1</v>
      </c>
      <c r="J126" s="843">
        <f>PRODUCT(G126,H126,I126)</f>
        <v>564978.53624789999</v>
      </c>
      <c r="K126" s="600"/>
      <c r="L126" s="600"/>
      <c r="M126" s="600"/>
      <c r="N126" s="600"/>
      <c r="O126" s="600"/>
      <c r="P126" s="600"/>
      <c r="Q126" s="600"/>
      <c r="R126" s="600"/>
      <c r="S126" s="600"/>
      <c r="T126" s="600"/>
      <c r="U126" s="600"/>
      <c r="V126" s="600"/>
      <c r="W126" s="600"/>
      <c r="X126" s="600"/>
      <c r="Y126" s="600"/>
      <c r="Z126" s="600"/>
      <c r="AA126" s="600"/>
    </row>
    <row r="127" spans="1:27" x14ac:dyDescent="0.25">
      <c r="A127" s="607"/>
      <c r="B127" s="455"/>
      <c r="C127" s="762" t="s">
        <v>306</v>
      </c>
      <c r="D127" s="762" t="s">
        <v>306</v>
      </c>
      <c r="E127" s="882" t="s">
        <v>890</v>
      </c>
      <c r="F127" s="455" t="s">
        <v>125</v>
      </c>
      <c r="G127" s="687"/>
      <c r="H127" s="54"/>
      <c r="I127" s="3"/>
      <c r="J127" s="54">
        <f>SUM(J128:J128)</f>
        <v>67500</v>
      </c>
      <c r="K127" s="600"/>
      <c r="L127" s="600"/>
      <c r="M127" s="600"/>
      <c r="N127" s="600"/>
      <c r="O127" s="600"/>
      <c r="P127" s="600"/>
      <c r="Q127" s="600"/>
      <c r="R127" s="600"/>
      <c r="S127" s="600"/>
      <c r="T127" s="600"/>
      <c r="U127" s="600"/>
      <c r="V127" s="600"/>
      <c r="W127" s="600"/>
      <c r="X127" s="600"/>
      <c r="Y127" s="600"/>
      <c r="Z127" s="600"/>
      <c r="AA127" s="600"/>
    </row>
    <row r="128" spans="1:27" x14ac:dyDescent="0.25">
      <c r="A128" s="396"/>
      <c r="B128" s="731"/>
      <c r="C128" s="670" t="s">
        <v>306</v>
      </c>
      <c r="D128" s="349" t="s">
        <v>1055</v>
      </c>
      <c r="E128" s="255" t="str">
        <f>" - " &amp; 'Giá NC'!E7</f>
        <v xml:space="preserve"> - Nhân công bậc 3,5/7 - Nhóm 2</v>
      </c>
      <c r="F128" s="731" t="str">
        <f>'Giá NC'!F7</f>
        <v>công</v>
      </c>
      <c r="G128" s="189">
        <f>PTVT!G152</f>
        <v>0.25</v>
      </c>
      <c r="H128" s="843">
        <f>'Giá NC'!K7</f>
        <v>270000</v>
      </c>
      <c r="I128" s="282">
        <f>'Tiên lượng'!W45</f>
        <v>1</v>
      </c>
      <c r="J128" s="843">
        <f>PRODUCT(G128,H128,I128)</f>
        <v>67500</v>
      </c>
      <c r="K128" s="600"/>
      <c r="L128" s="600"/>
      <c r="M128" s="600"/>
      <c r="N128" s="600"/>
      <c r="O128" s="600"/>
      <c r="P128" s="600"/>
      <c r="Q128" s="600"/>
      <c r="R128" s="600"/>
      <c r="S128" s="600"/>
      <c r="T128" s="600"/>
      <c r="U128" s="600"/>
      <c r="V128" s="600"/>
      <c r="W128" s="600"/>
      <c r="X128" s="600"/>
      <c r="Y128" s="600"/>
      <c r="Z128" s="600"/>
      <c r="AA128" s="600"/>
    </row>
    <row r="129" spans="1:27" x14ac:dyDescent="0.25">
      <c r="A129" s="607"/>
      <c r="B129" s="455"/>
      <c r="C129" s="762" t="s">
        <v>306</v>
      </c>
      <c r="D129" s="762" t="s">
        <v>306</v>
      </c>
      <c r="E129" s="882" t="s">
        <v>556</v>
      </c>
      <c r="F129" s="455" t="s">
        <v>539</v>
      </c>
      <c r="G129" s="687"/>
      <c r="H129" s="54"/>
      <c r="I129" s="3"/>
      <c r="J129" s="54">
        <v>42500</v>
      </c>
      <c r="K129" s="600"/>
      <c r="L129" s="600"/>
      <c r="M129" s="600"/>
      <c r="N129" s="600"/>
      <c r="O129" s="600"/>
      <c r="P129" s="600"/>
      <c r="Q129" s="600"/>
      <c r="R129" s="600"/>
      <c r="S129" s="600"/>
      <c r="T129" s="600"/>
      <c r="U129" s="600"/>
      <c r="V129" s="600"/>
      <c r="W129" s="600"/>
      <c r="X129" s="600"/>
      <c r="Y129" s="600"/>
      <c r="Z129" s="600"/>
      <c r="AA129" s="600"/>
    </row>
    <row r="130" spans="1:27" x14ac:dyDescent="0.25">
      <c r="A130" s="419"/>
      <c r="B130" s="377"/>
      <c r="C130" s="682" t="s">
        <v>306</v>
      </c>
      <c r="D130" s="884" t="s">
        <v>928</v>
      </c>
      <c r="E130" s="798" t="str">
        <f>" - " &amp; 'Giá Máy'!E9</f>
        <v xml:space="preserve"> - Máy đầm cóc</v>
      </c>
      <c r="F130" s="377" t="str">
        <f>'Giá Máy'!F9</f>
        <v>ca</v>
      </c>
      <c r="G130" s="208">
        <f>PTVT!G154</f>
        <v>0.05</v>
      </c>
      <c r="H130" s="862">
        <f>'Giá Máy'!O9</f>
        <v>850000</v>
      </c>
      <c r="I130" s="824">
        <f>'Tiên lượng'!X45</f>
        <v>1</v>
      </c>
      <c r="J130" s="862">
        <f>PRODUCT(G130,H130,I130)</f>
        <v>42500</v>
      </c>
      <c r="K130" s="600"/>
      <c r="L130" s="600"/>
      <c r="M130" s="600"/>
      <c r="N130" s="600"/>
      <c r="O130" s="600"/>
      <c r="P130" s="600"/>
      <c r="Q130" s="600"/>
      <c r="R130" s="600"/>
      <c r="S130" s="600"/>
      <c r="T130" s="600"/>
      <c r="U130" s="600"/>
      <c r="V130" s="600"/>
      <c r="W130" s="600"/>
      <c r="X130" s="600"/>
      <c r="Y130" s="600"/>
      <c r="Z130" s="600"/>
      <c r="AA130" s="600"/>
    </row>
    <row r="131" spans="1:27" x14ac:dyDescent="0.25">
      <c r="B131" s="600"/>
      <c r="C131" s="41"/>
      <c r="D131" s="41"/>
      <c r="E131" s="600"/>
      <c r="F131" s="600"/>
      <c r="G131" s="600"/>
      <c r="H131" s="600"/>
      <c r="I131" s="600"/>
      <c r="J131" s="600"/>
      <c r="K131" s="600"/>
      <c r="L131" s="600"/>
      <c r="M131" s="600"/>
      <c r="N131" s="600"/>
      <c r="O131" s="600"/>
      <c r="P131" s="600"/>
      <c r="Q131" s="600"/>
      <c r="R131" s="600"/>
      <c r="S131" s="600"/>
      <c r="T131" s="600"/>
      <c r="U131" s="600"/>
      <c r="V131" s="600"/>
      <c r="W131" s="600"/>
      <c r="X131" s="600"/>
      <c r="Y131" s="600"/>
      <c r="Z131" s="600"/>
      <c r="AA131" s="600"/>
    </row>
    <row r="132" spans="1:27" x14ac:dyDescent="0.25">
      <c r="B132" s="600"/>
      <c r="C132" s="41"/>
      <c r="D132" s="41"/>
      <c r="E132" s="600"/>
      <c r="F132" s="600"/>
      <c r="G132" s="600"/>
      <c r="H132" s="600"/>
      <c r="I132" s="600"/>
      <c r="J132" s="600"/>
      <c r="K132" s="600"/>
      <c r="L132" s="600"/>
      <c r="M132" s="600"/>
      <c r="N132" s="600"/>
      <c r="O132" s="600"/>
      <c r="P132" s="600"/>
      <c r="Q132" s="600"/>
      <c r="R132" s="600"/>
      <c r="S132" s="600"/>
      <c r="T132" s="600"/>
      <c r="U132" s="600"/>
      <c r="V132" s="600"/>
      <c r="W132" s="600"/>
      <c r="X132" s="600"/>
      <c r="Y132" s="600"/>
      <c r="Z132" s="600"/>
      <c r="AA132" s="600"/>
    </row>
    <row r="133" spans="1:27" x14ac:dyDescent="0.25">
      <c r="B133" s="600"/>
      <c r="C133" s="41"/>
      <c r="D133" s="41"/>
      <c r="E133" s="600"/>
      <c r="F133" s="600"/>
      <c r="G133" s="600"/>
      <c r="H133" s="600"/>
      <c r="I133" s="600"/>
      <c r="J133" s="600"/>
      <c r="K133" s="600"/>
      <c r="L133" s="600"/>
      <c r="M133" s="600"/>
      <c r="N133" s="600"/>
      <c r="O133" s="600"/>
      <c r="P133" s="600"/>
      <c r="Q133" s="600"/>
      <c r="R133" s="600"/>
      <c r="S133" s="600"/>
      <c r="T133" s="600"/>
      <c r="U133" s="600"/>
      <c r="V133" s="600"/>
      <c r="W133" s="600"/>
      <c r="X133" s="600"/>
      <c r="Y133" s="600"/>
      <c r="Z133" s="600"/>
      <c r="AA133" s="600"/>
    </row>
  </sheetData>
  <mergeCells count="4">
    <mergeCell ref="A1:J1"/>
    <mergeCell ref="A2:J2"/>
    <mergeCell ref="A3:J3"/>
    <mergeCell ref="A4:J4"/>
  </mergeCells>
  <conditionalFormatting sqref="I1:I130">
    <cfRule type="cellIs" dxfId="0" priority="1" stopIfTrue="1" operator="equal">
      <formula>1</formula>
    </cfRule>
  </conditionalFormatting>
  <pageMargins left="0.60000000000000009" right="0.60000000000000009" top="0.75" bottom="0.75" header="0.3" footer="0.3"/>
  <pageSetup paperSize="9" scale="90" orientation="portrait" useFirstPageNumber="1"/>
  <headerFooter>
    <oddFooter>&amp;CTrang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A32"/>
  <sheetViews>
    <sheetView showZeros="0" topLeftCell="B1" workbookViewId="0">
      <selection sqref="A1:T1"/>
    </sheetView>
  </sheetViews>
  <sheetFormatPr defaultRowHeight="15" x14ac:dyDescent="0.25"/>
  <cols>
    <col min="1" max="1" width="8.85546875" hidden="1" customWidth="1"/>
    <col min="2" max="2" width="4.7109375" bestFit="1" customWidth="1"/>
    <col min="3" max="3" width="11.7109375" bestFit="1" customWidth="1"/>
    <col min="4" max="4" width="23" customWidth="1"/>
    <col min="5" max="5" width="10" bestFit="1" customWidth="1"/>
    <col min="6" max="6" width="10.5703125" bestFit="1" customWidth="1"/>
    <col min="7" max="7" width="10" bestFit="1" customWidth="1"/>
    <col min="8" max="8" width="8.85546875" hidden="1" customWidth="1"/>
    <col min="9" max="9" width="10" bestFit="1" customWidth="1"/>
    <col min="10" max="10" width="9" bestFit="1" customWidth="1"/>
    <col min="11" max="11" width="8.85546875" hidden="1" customWidth="1"/>
    <col min="12" max="12" width="11" bestFit="1" customWidth="1"/>
    <col min="13" max="13" width="8.85546875" hidden="1" customWidth="1"/>
    <col min="14" max="14" width="11" bestFit="1" customWidth="1"/>
    <col min="15" max="15" width="10" bestFit="1" customWidth="1"/>
    <col min="16" max="16" width="11" bestFit="1" customWidth="1"/>
  </cols>
  <sheetData>
    <row r="1" spans="1:27" ht="18.75" x14ac:dyDescent="0.25">
      <c r="A1" s="1250" t="s">
        <v>1135</v>
      </c>
      <c r="B1" s="1250"/>
      <c r="C1" s="1250"/>
      <c r="D1" s="1251"/>
      <c r="E1" s="1250"/>
      <c r="F1" s="1252"/>
      <c r="G1" s="1253"/>
      <c r="H1" s="1253"/>
      <c r="I1" s="1253"/>
      <c r="J1" s="1253"/>
      <c r="K1" s="1253"/>
      <c r="L1" s="1253"/>
      <c r="M1" s="1253"/>
      <c r="N1" s="1253"/>
      <c r="O1" s="1253"/>
      <c r="P1" s="1253"/>
    </row>
    <row r="2" spans="1:27" x14ac:dyDescent="0.25">
      <c r="A2" s="1254" t="s">
        <v>197</v>
      </c>
      <c r="B2" s="1254"/>
      <c r="C2" s="1254"/>
      <c r="D2" s="1255"/>
      <c r="E2" s="1254"/>
      <c r="F2" s="1256"/>
      <c r="G2" s="1257"/>
      <c r="H2" s="1257"/>
      <c r="I2" s="1257"/>
      <c r="J2" s="1257"/>
      <c r="K2" s="1257"/>
      <c r="L2" s="1257"/>
      <c r="M2" s="1257"/>
      <c r="N2" s="1257"/>
      <c r="O2" s="1257"/>
      <c r="P2" s="1257"/>
    </row>
    <row r="3" spans="1:27" x14ac:dyDescent="0.25">
      <c r="A3" s="1254" t="s">
        <v>1409</v>
      </c>
      <c r="B3" s="1254"/>
      <c r="C3" s="1254"/>
      <c r="D3" s="1255"/>
      <c r="E3" s="1254"/>
      <c r="F3" s="1256"/>
      <c r="G3" s="1257"/>
      <c r="H3" s="1257"/>
      <c r="I3" s="1257"/>
      <c r="J3" s="1257"/>
      <c r="K3" s="1257"/>
      <c r="L3" s="1257"/>
      <c r="M3" s="1257"/>
      <c r="N3" s="1257"/>
      <c r="O3" s="1257"/>
      <c r="P3" s="1257"/>
    </row>
    <row r="4" spans="1:27" x14ac:dyDescent="0.25">
      <c r="A4" s="1254"/>
      <c r="B4" s="1258"/>
      <c r="C4" s="1258"/>
      <c r="D4" s="1259"/>
      <c r="E4" s="1258"/>
      <c r="F4" s="1260"/>
      <c r="G4" s="1261"/>
      <c r="H4" s="1261"/>
      <c r="I4" s="1261"/>
      <c r="J4" s="1261"/>
      <c r="K4" s="1261"/>
      <c r="L4" s="1261"/>
      <c r="M4" s="1261"/>
      <c r="N4" s="1261"/>
      <c r="O4" s="1261"/>
      <c r="P4" s="1261"/>
      <c r="Q4" s="600"/>
      <c r="R4" s="600"/>
      <c r="S4" s="600"/>
      <c r="T4" s="600"/>
      <c r="U4" s="600"/>
      <c r="V4" s="600"/>
      <c r="W4" s="600"/>
      <c r="X4" s="600"/>
      <c r="Y4" s="600"/>
      <c r="Z4" s="600"/>
      <c r="AA4" s="600"/>
    </row>
    <row r="5" spans="1:27" x14ac:dyDescent="0.25">
      <c r="A5" s="418"/>
      <c r="B5" s="1262" t="s">
        <v>1323</v>
      </c>
      <c r="C5" s="1262" t="s">
        <v>1152</v>
      </c>
      <c r="D5" s="1123" t="s">
        <v>1462</v>
      </c>
      <c r="E5" s="1262" t="s">
        <v>1448</v>
      </c>
      <c r="F5" s="1263" t="s">
        <v>207</v>
      </c>
      <c r="G5" s="1264" t="s">
        <v>979</v>
      </c>
      <c r="H5" s="1264"/>
      <c r="I5" s="1264"/>
      <c r="J5" s="1264"/>
      <c r="K5" s="172" t="s">
        <v>979</v>
      </c>
      <c r="L5" s="1264" t="s">
        <v>898</v>
      </c>
      <c r="M5" s="1264"/>
      <c r="N5" s="1264"/>
      <c r="O5" s="1264"/>
      <c r="P5" s="1264" t="s">
        <v>287</v>
      </c>
      <c r="Q5" s="600"/>
      <c r="R5" s="600"/>
      <c r="S5" s="600"/>
      <c r="T5" s="600"/>
      <c r="U5" s="600"/>
      <c r="V5" s="600"/>
      <c r="W5" s="600"/>
      <c r="X5" s="600"/>
      <c r="Y5" s="600"/>
      <c r="Z5" s="600"/>
      <c r="AA5" s="600"/>
    </row>
    <row r="6" spans="1:27" x14ac:dyDescent="0.25">
      <c r="A6" s="418"/>
      <c r="B6" s="1262"/>
      <c r="C6" s="1262"/>
      <c r="D6" s="1123"/>
      <c r="E6" s="1262"/>
      <c r="F6" s="1263"/>
      <c r="G6" s="172" t="s">
        <v>1372</v>
      </c>
      <c r="H6" s="172" t="s">
        <v>807</v>
      </c>
      <c r="I6" s="172" t="s">
        <v>890</v>
      </c>
      <c r="J6" s="172" t="s">
        <v>213</v>
      </c>
      <c r="K6" s="172"/>
      <c r="L6" s="172" t="s">
        <v>1372</v>
      </c>
      <c r="M6" s="172" t="s">
        <v>807</v>
      </c>
      <c r="N6" s="172" t="s">
        <v>890</v>
      </c>
      <c r="O6" s="172" t="s">
        <v>213</v>
      </c>
      <c r="P6" s="1264"/>
      <c r="Q6" s="600"/>
      <c r="R6" s="600"/>
      <c r="S6" s="600"/>
      <c r="T6" s="600"/>
      <c r="U6" s="600"/>
      <c r="V6" s="600"/>
      <c r="W6" s="600"/>
      <c r="X6" s="600"/>
      <c r="Y6" s="600"/>
      <c r="Z6" s="600"/>
      <c r="AA6" s="600"/>
    </row>
    <row r="7" spans="1:27" ht="60" x14ac:dyDescent="0.25">
      <c r="A7" s="396"/>
      <c r="B7" s="731">
        <v>1</v>
      </c>
      <c r="C7" s="674" t="str">
        <f>'Tiên lượng'!C8</f>
        <v>SA.12112</v>
      </c>
      <c r="D7" s="255" t="str">
        <f>'Tiên lượng'!D8</f>
        <v>Phá dỡ kết cấu bê tông không cốt thép bằng búa căn. (Bê tông mặt đường cũ)</v>
      </c>
      <c r="E7" s="731" t="str">
        <f>'Tiên lượng'!E8</f>
        <v>m3</v>
      </c>
      <c r="F7" s="282">
        <f>'Tiên lượng'!M8</f>
        <v>40.799999999999997</v>
      </c>
      <c r="G7" s="52"/>
      <c r="H7" s="52"/>
      <c r="I7" s="52">
        <f>'Chiết tính rút gọn'!J7</f>
        <v>132598.44</v>
      </c>
      <c r="J7" s="52">
        <f>'Chiết tính rút gọn'!J9</f>
        <v>171274.46000000002</v>
      </c>
      <c r="K7" s="52">
        <f t="shared" ref="K7:K28" si="0">SUM(G7:J7)</f>
        <v>303872.90000000002</v>
      </c>
      <c r="L7" s="52">
        <f t="shared" ref="L7:L28" si="1">F7*G7</f>
        <v>0</v>
      </c>
      <c r="M7" s="52">
        <f t="shared" ref="M7:M28" si="2">F7*H7</f>
        <v>0</v>
      </c>
      <c r="N7" s="52">
        <f t="shared" ref="N7:N28" si="3">F7*I7</f>
        <v>5410016.352</v>
      </c>
      <c r="O7" s="52">
        <f t="shared" ref="O7:O28" si="4">F7*J7</f>
        <v>6987997.9680000003</v>
      </c>
      <c r="P7" s="52">
        <f t="shared" ref="P7:P28" si="5">SUM(L7:O7)</f>
        <v>12398014.32</v>
      </c>
      <c r="Q7" s="600"/>
      <c r="R7" s="600"/>
      <c r="S7" s="600"/>
      <c r="T7" s="600"/>
      <c r="U7" s="600"/>
      <c r="V7" s="600"/>
      <c r="W7" s="600"/>
      <c r="X7" s="600"/>
      <c r="Y7" s="600"/>
      <c r="Z7" s="600"/>
      <c r="AA7" s="600"/>
    </row>
    <row r="8" spans="1:27" ht="60" x14ac:dyDescent="0.25">
      <c r="A8" s="396"/>
      <c r="B8" s="731">
        <v>2</v>
      </c>
      <c r="C8" s="674" t="str">
        <f>'Tiên lượng'!C10</f>
        <v>AB.55321</v>
      </c>
      <c r="D8" s="255" t="str">
        <f>'Tiên lượng'!D10</f>
        <v>Xúc đá tảng, cục bê tông lên phương tiện vận chuyển bằng máy đào 3,6m3, ĐK 0,4÷1m</v>
      </c>
      <c r="E8" s="731" t="str">
        <f>'Tiên lượng'!E10</f>
        <v>100m3</v>
      </c>
      <c r="F8" s="282">
        <f>'Tiên lượng'!M10</f>
        <v>0.53039999999999998</v>
      </c>
      <c r="G8" s="52"/>
      <c r="H8" s="52"/>
      <c r="I8" s="52">
        <f>'Chiết tính rút gọn'!J13</f>
        <v>153174.06</v>
      </c>
      <c r="J8" s="52">
        <f>'Chiết tính rút gọn'!J15</f>
        <v>8401999.0040000007</v>
      </c>
      <c r="K8" s="52">
        <f t="shared" si="0"/>
        <v>8555173.0640000012</v>
      </c>
      <c r="L8" s="52">
        <f t="shared" si="1"/>
        <v>0</v>
      </c>
      <c r="M8" s="52">
        <f t="shared" si="2"/>
        <v>0</v>
      </c>
      <c r="N8" s="52">
        <f t="shared" si="3"/>
        <v>81243.521423999991</v>
      </c>
      <c r="O8" s="52">
        <f t="shared" si="4"/>
        <v>4456420.2717216006</v>
      </c>
      <c r="P8" s="52">
        <f t="shared" si="5"/>
        <v>4537663.7931456007</v>
      </c>
      <c r="Q8" s="600"/>
      <c r="R8" s="600"/>
      <c r="S8" s="600"/>
      <c r="T8" s="600"/>
      <c r="U8" s="600"/>
      <c r="V8" s="600"/>
      <c r="W8" s="600"/>
      <c r="X8" s="600"/>
      <c r="Y8" s="600"/>
      <c r="Z8" s="600"/>
      <c r="AA8" s="600"/>
    </row>
    <row r="9" spans="1:27" ht="60" x14ac:dyDescent="0.25">
      <c r="A9" s="396"/>
      <c r="B9" s="731">
        <v>3</v>
      </c>
      <c r="C9" s="674" t="str">
        <f>'Tiên lượng'!C12</f>
        <v>AB.56412</v>
      </c>
      <c r="D9" s="255" t="str">
        <f>'Tiên lượng'!D12</f>
        <v>Vận chuyển đá tảng, cục bê tông, ĐK 0,4÷1m, ô tô tự đổ 12T trong phạm vi ≤1000m</v>
      </c>
      <c r="E9" s="731" t="str">
        <f>'Tiên lượng'!E12</f>
        <v>100m3</v>
      </c>
      <c r="F9" s="282">
        <f>'Tiên lượng'!M12</f>
        <v>0.53039999999999998</v>
      </c>
      <c r="G9" s="52"/>
      <c r="H9" s="52"/>
      <c r="I9" s="52"/>
      <c r="J9" s="52">
        <f>'Chiết tính rút gọn'!J18</f>
        <v>7400473.6320000002</v>
      </c>
      <c r="K9" s="52">
        <f t="shared" si="0"/>
        <v>7400473.6320000002</v>
      </c>
      <c r="L9" s="52">
        <f t="shared" si="1"/>
        <v>0</v>
      </c>
      <c r="M9" s="52">
        <f t="shared" si="2"/>
        <v>0</v>
      </c>
      <c r="N9" s="52">
        <f t="shared" si="3"/>
        <v>0</v>
      </c>
      <c r="O9" s="52">
        <f t="shared" si="4"/>
        <v>3925211.2144128</v>
      </c>
      <c r="P9" s="52">
        <f t="shared" si="5"/>
        <v>3925211.2144128</v>
      </c>
      <c r="Q9" s="600"/>
      <c r="R9" s="600"/>
      <c r="S9" s="600"/>
      <c r="T9" s="600"/>
      <c r="U9" s="600"/>
      <c r="V9" s="600"/>
      <c r="W9" s="600"/>
      <c r="X9" s="600"/>
      <c r="Y9" s="600"/>
      <c r="Z9" s="600"/>
      <c r="AA9" s="600"/>
    </row>
    <row r="10" spans="1:27" ht="45" x14ac:dyDescent="0.25">
      <c r="A10" s="396"/>
      <c r="B10" s="731">
        <v>4</v>
      </c>
      <c r="C10" s="674" t="str">
        <f>'Tiên lượng'!C13</f>
        <v>TT</v>
      </c>
      <c r="D10" s="255" t="str">
        <f>'Tiên lượng'!D13</f>
        <v>Đào xúc đất sạt lở ta luy đồi xuống đường bằng máy xúc đào 0,4m3</v>
      </c>
      <c r="E10" s="731" t="str">
        <f>'Tiên lượng'!E13</f>
        <v>ca</v>
      </c>
      <c r="F10" s="282">
        <f>'Tiên lượng'!M13</f>
        <v>2</v>
      </c>
      <c r="G10" s="52"/>
      <c r="H10" s="52"/>
      <c r="I10" s="52"/>
      <c r="J10" s="52">
        <f>'Chiết tính rút gọn'!J21</f>
        <v>3200000</v>
      </c>
      <c r="K10" s="52">
        <f t="shared" si="0"/>
        <v>3200000</v>
      </c>
      <c r="L10" s="52">
        <f t="shared" si="1"/>
        <v>0</v>
      </c>
      <c r="M10" s="52">
        <f t="shared" si="2"/>
        <v>0</v>
      </c>
      <c r="N10" s="52">
        <f t="shared" si="3"/>
        <v>0</v>
      </c>
      <c r="O10" s="52">
        <f t="shared" si="4"/>
        <v>6400000</v>
      </c>
      <c r="P10" s="52">
        <f t="shared" si="5"/>
        <v>6400000</v>
      </c>
      <c r="Q10" s="600"/>
      <c r="R10" s="600"/>
      <c r="S10" s="600"/>
      <c r="T10" s="600"/>
      <c r="U10" s="600"/>
      <c r="V10" s="600"/>
      <c r="W10" s="600"/>
      <c r="X10" s="600"/>
      <c r="Y10" s="600"/>
      <c r="Z10" s="600"/>
      <c r="AA10" s="600"/>
    </row>
    <row r="11" spans="1:27" ht="30" x14ac:dyDescent="0.25">
      <c r="A11" s="396"/>
      <c r="B11" s="731">
        <v>5</v>
      </c>
      <c r="C11" s="674" t="str">
        <f>'Tiên lượng'!C14</f>
        <v>TT</v>
      </c>
      <c r="D11" s="255" t="str">
        <f>'Tiên lượng'!D14</f>
        <v>vận chuyển đất sạt lở ta luy đồi bằng ô tô</v>
      </c>
      <c r="E11" s="731" t="str">
        <f>'Tiên lượng'!E14</f>
        <v>ca</v>
      </c>
      <c r="F11" s="282">
        <f>'Tiên lượng'!M14</f>
        <v>2</v>
      </c>
      <c r="G11" s="52"/>
      <c r="H11" s="52"/>
      <c r="I11" s="52"/>
      <c r="J11" s="52">
        <f>'Chiết tính rút gọn'!J24</f>
        <v>2000000</v>
      </c>
      <c r="K11" s="52">
        <f t="shared" si="0"/>
        <v>2000000</v>
      </c>
      <c r="L11" s="52">
        <f t="shared" si="1"/>
        <v>0</v>
      </c>
      <c r="M11" s="52">
        <f t="shared" si="2"/>
        <v>0</v>
      </c>
      <c r="N11" s="52">
        <f t="shared" si="3"/>
        <v>0</v>
      </c>
      <c r="O11" s="52">
        <f t="shared" si="4"/>
        <v>4000000</v>
      </c>
      <c r="P11" s="52">
        <f t="shared" si="5"/>
        <v>4000000</v>
      </c>
      <c r="Q11" s="600"/>
      <c r="R11" s="600"/>
      <c r="S11" s="600"/>
      <c r="T11" s="600"/>
      <c r="U11" s="600"/>
      <c r="V11" s="600"/>
      <c r="W11" s="600"/>
      <c r="X11" s="600"/>
      <c r="Y11" s="600"/>
      <c r="Z11" s="600"/>
      <c r="AA11" s="600"/>
    </row>
    <row r="12" spans="1:27" ht="75" x14ac:dyDescent="0.25">
      <c r="A12" s="396"/>
      <c r="B12" s="731">
        <v>6</v>
      </c>
      <c r="C12" s="674" t="str">
        <f>'Tiên lượng'!C15</f>
        <v>AB.31113</v>
      </c>
      <c r="D12" s="255" t="str">
        <f>'Tiên lượng'!D15</f>
        <v>Đào nền đường bằng máy đào 0,4m3 - Cấp đất III (Bổ sung TT09/2024). Đào hạ nền đường trung bình 50cm, dài 50m</v>
      </c>
      <c r="E12" s="731" t="str">
        <f>'Tiên lượng'!E15</f>
        <v>100m3</v>
      </c>
      <c r="F12" s="282">
        <f>'Tiên lượng'!M15</f>
        <v>0.875</v>
      </c>
      <c r="G12" s="52"/>
      <c r="H12" s="52"/>
      <c r="I12" s="52">
        <f>'Chiết tính rút gọn'!J27</f>
        <v>951050.88</v>
      </c>
      <c r="J12" s="52">
        <f>'Chiết tính rút gọn'!J29</f>
        <v>5600000</v>
      </c>
      <c r="K12" s="52">
        <f t="shared" si="0"/>
        <v>6551050.8799999999</v>
      </c>
      <c r="L12" s="52">
        <f t="shared" si="1"/>
        <v>0</v>
      </c>
      <c r="M12" s="52">
        <f t="shared" si="2"/>
        <v>0</v>
      </c>
      <c r="N12" s="52">
        <f t="shared" si="3"/>
        <v>832169.52</v>
      </c>
      <c r="O12" s="52">
        <f t="shared" si="4"/>
        <v>4900000</v>
      </c>
      <c r="P12" s="52">
        <f t="shared" si="5"/>
        <v>5732169.5199999996</v>
      </c>
      <c r="Q12" s="600"/>
      <c r="R12" s="600"/>
      <c r="S12" s="600"/>
      <c r="T12" s="600"/>
      <c r="U12" s="600"/>
      <c r="V12" s="600"/>
      <c r="W12" s="600"/>
      <c r="X12" s="600"/>
      <c r="Y12" s="600"/>
      <c r="Z12" s="600"/>
      <c r="AA12" s="600"/>
    </row>
    <row r="13" spans="1:27" ht="45" x14ac:dyDescent="0.25">
      <c r="A13" s="396"/>
      <c r="B13" s="731">
        <v>7</v>
      </c>
      <c r="C13" s="674" t="str">
        <f>'Tiên lượng'!C17</f>
        <v>AB.41123.VD</v>
      </c>
      <c r="D13" s="255" t="str">
        <f>'Tiên lượng'!D17</f>
        <v>Vận chuyển đất bằng ô tô tự đổ 7T, phạm vi ≤300m - Cấp đất III</v>
      </c>
      <c r="E13" s="731" t="str">
        <f>'Tiên lượng'!E17</f>
        <v>ca</v>
      </c>
      <c r="F13" s="282">
        <f>'Tiên lượng'!M17</f>
        <v>1</v>
      </c>
      <c r="G13" s="52"/>
      <c r="H13" s="52"/>
      <c r="I13" s="52"/>
      <c r="J13" s="52">
        <f>'Chiết tính rút gọn'!J32</f>
        <v>2000000</v>
      </c>
      <c r="K13" s="52">
        <f t="shared" si="0"/>
        <v>2000000</v>
      </c>
      <c r="L13" s="52">
        <f t="shared" si="1"/>
        <v>0</v>
      </c>
      <c r="M13" s="52">
        <f t="shared" si="2"/>
        <v>0</v>
      </c>
      <c r="N13" s="52">
        <f t="shared" si="3"/>
        <v>0</v>
      </c>
      <c r="O13" s="52">
        <f t="shared" si="4"/>
        <v>2000000</v>
      </c>
      <c r="P13" s="52">
        <f t="shared" si="5"/>
        <v>2000000</v>
      </c>
      <c r="Q13" s="600"/>
      <c r="R13" s="600"/>
      <c r="S13" s="600"/>
      <c r="T13" s="600"/>
      <c r="U13" s="600"/>
      <c r="V13" s="600"/>
      <c r="W13" s="600"/>
      <c r="X13" s="600"/>
      <c r="Y13" s="600"/>
      <c r="Z13" s="600"/>
      <c r="AA13" s="600"/>
    </row>
    <row r="14" spans="1:27" ht="45" x14ac:dyDescent="0.25">
      <c r="A14" s="396"/>
      <c r="B14" s="731">
        <v>8</v>
      </c>
      <c r="C14" s="674" t="str">
        <f>'Tiên lượng'!C18</f>
        <v>AD.11212.VD</v>
      </c>
      <c r="D14" s="255" t="str">
        <f>'Tiên lượng'!D18</f>
        <v>Bù vênh mặt đường bằng Đá dăm cấp phối loại II (Subbase)</v>
      </c>
      <c r="E14" s="731" t="str">
        <f>'Tiên lượng'!E18</f>
        <v>100m3</v>
      </c>
      <c r="F14" s="282">
        <f>'Tiên lượng'!M18</f>
        <v>0.5</v>
      </c>
      <c r="G14" s="52">
        <f>'Chiết tính rút gọn'!J35</f>
        <v>53127806.215591997</v>
      </c>
      <c r="H14" s="52"/>
      <c r="I14" s="52">
        <f>'Chiết tính rút gọn'!J37</f>
        <v>1481448</v>
      </c>
      <c r="J14" s="52">
        <f>'Chiết tính rút gọn'!J39</f>
        <v>544003.88699999999</v>
      </c>
      <c r="K14" s="52">
        <f t="shared" si="0"/>
        <v>55153258.102591999</v>
      </c>
      <c r="L14" s="52">
        <f t="shared" si="1"/>
        <v>26563903.107795998</v>
      </c>
      <c r="M14" s="52">
        <f t="shared" si="2"/>
        <v>0</v>
      </c>
      <c r="N14" s="52">
        <f t="shared" si="3"/>
        <v>740724</v>
      </c>
      <c r="O14" s="52">
        <f t="shared" si="4"/>
        <v>272001.94349999999</v>
      </c>
      <c r="P14" s="52">
        <f t="shared" si="5"/>
        <v>27576629.051295999</v>
      </c>
      <c r="Q14" s="600"/>
      <c r="R14" s="600"/>
      <c r="S14" s="600"/>
      <c r="T14" s="600"/>
      <c r="U14" s="600"/>
      <c r="V14" s="600"/>
      <c r="W14" s="600"/>
      <c r="X14" s="600"/>
      <c r="Y14" s="600"/>
      <c r="Z14" s="600"/>
      <c r="AA14" s="600"/>
    </row>
    <row r="15" spans="1:27" ht="45" x14ac:dyDescent="0.25">
      <c r="A15" s="396"/>
      <c r="B15" s="731">
        <v>9</v>
      </c>
      <c r="C15" s="674" t="str">
        <f>'Tiên lượng'!C20</f>
        <v>AD.11222.VD</v>
      </c>
      <c r="D15" s="255" t="str">
        <f>'Tiên lượng'!D20</f>
        <v>Thi công lớp đệm móng bằng đá mạt. chiều dài 150m</v>
      </c>
      <c r="E15" s="731" t="str">
        <f>'Tiên lượng'!E20</f>
        <v>100m3</v>
      </c>
      <c r="F15" s="282">
        <f>'Tiên lượng'!M20</f>
        <v>0.16649999999999998</v>
      </c>
      <c r="G15" s="52">
        <f>'Chiết tính rút gọn'!J44</f>
        <v>53127806.215591997</v>
      </c>
      <c r="H15" s="52"/>
      <c r="I15" s="52">
        <f>'Chiết tính rút gọn'!J46</f>
        <v>1234540</v>
      </c>
      <c r="J15" s="52"/>
      <c r="K15" s="52">
        <f t="shared" si="0"/>
        <v>54362346.215591997</v>
      </c>
      <c r="L15" s="52">
        <f t="shared" si="1"/>
        <v>8845779.7348960657</v>
      </c>
      <c r="M15" s="52">
        <f t="shared" si="2"/>
        <v>0</v>
      </c>
      <c r="N15" s="52">
        <f t="shared" si="3"/>
        <v>205550.90999999997</v>
      </c>
      <c r="O15" s="52">
        <f t="shared" si="4"/>
        <v>0</v>
      </c>
      <c r="P15" s="52">
        <f t="shared" si="5"/>
        <v>9051330.6448960658</v>
      </c>
      <c r="Q15" s="600"/>
      <c r="R15" s="600"/>
      <c r="S15" s="600"/>
      <c r="T15" s="600"/>
      <c r="U15" s="600"/>
      <c r="V15" s="600"/>
      <c r="W15" s="600"/>
      <c r="X15" s="600"/>
      <c r="Y15" s="600"/>
      <c r="Z15" s="600"/>
      <c r="AA15" s="600"/>
    </row>
    <row r="16" spans="1:27" ht="30" x14ac:dyDescent="0.25">
      <c r="A16" s="396"/>
      <c r="B16" s="731">
        <v>10</v>
      </c>
      <c r="C16" s="674" t="str">
        <f>'Tiên lượng'!C22</f>
        <v>TT.00001</v>
      </c>
      <c r="D16" s="255" t="str">
        <f>'Tiên lượng'!D22</f>
        <v xml:space="preserve">San gạt tạo phẳng nền đường bằng máy San </v>
      </c>
      <c r="E16" s="731" t="str">
        <f>'Tiên lượng'!E22</f>
        <v>ca</v>
      </c>
      <c r="F16" s="282">
        <f>'Tiên lượng'!M22</f>
        <v>1</v>
      </c>
      <c r="G16" s="52"/>
      <c r="H16" s="52"/>
      <c r="I16" s="52"/>
      <c r="J16" s="52">
        <f>'Chiết tính rút gọn'!J49</f>
        <v>5000000</v>
      </c>
      <c r="K16" s="52">
        <f t="shared" si="0"/>
        <v>5000000</v>
      </c>
      <c r="L16" s="52">
        <f t="shared" si="1"/>
        <v>0</v>
      </c>
      <c r="M16" s="52">
        <f t="shared" si="2"/>
        <v>0</v>
      </c>
      <c r="N16" s="52">
        <f t="shared" si="3"/>
        <v>0</v>
      </c>
      <c r="O16" s="52">
        <f t="shared" si="4"/>
        <v>5000000</v>
      </c>
      <c r="P16" s="52">
        <f t="shared" si="5"/>
        <v>5000000</v>
      </c>
      <c r="Q16" s="600"/>
      <c r="R16" s="600"/>
      <c r="S16" s="600"/>
      <c r="T16" s="600"/>
      <c r="U16" s="600"/>
      <c r="V16" s="600"/>
      <c r="W16" s="600"/>
      <c r="X16" s="600"/>
      <c r="Y16" s="600"/>
      <c r="Z16" s="600"/>
      <c r="AA16" s="600"/>
    </row>
    <row r="17" spans="1:27" ht="45" x14ac:dyDescent="0.25">
      <c r="A17" s="396"/>
      <c r="B17" s="731">
        <v>11</v>
      </c>
      <c r="C17" s="674" t="str">
        <f>'Tiên lượng'!C23</f>
        <v>TT</v>
      </c>
      <c r="D17" s="255" t="str">
        <f>'Tiên lượng'!D23</f>
        <v>Công tác đào rãnh, hố ga để đặt cống thoát nước đầu tuyến bằng thủ công</v>
      </c>
      <c r="E17" s="731" t="str">
        <f>'Tiên lượng'!E23</f>
        <v>công</v>
      </c>
      <c r="F17" s="282">
        <f>'Tiên lượng'!M23</f>
        <v>4</v>
      </c>
      <c r="G17" s="52"/>
      <c r="H17" s="52"/>
      <c r="I17" s="52">
        <f>'Chiết tính rút gọn'!J52</f>
        <v>450000</v>
      </c>
      <c r="J17" s="52"/>
      <c r="K17" s="52">
        <f t="shared" si="0"/>
        <v>450000</v>
      </c>
      <c r="L17" s="52">
        <f t="shared" si="1"/>
        <v>0</v>
      </c>
      <c r="M17" s="52">
        <f t="shared" si="2"/>
        <v>0</v>
      </c>
      <c r="N17" s="52">
        <f t="shared" si="3"/>
        <v>1800000</v>
      </c>
      <c r="O17" s="52">
        <f t="shared" si="4"/>
        <v>0</v>
      </c>
      <c r="P17" s="52">
        <f t="shared" si="5"/>
        <v>1800000</v>
      </c>
      <c r="Q17" s="600"/>
      <c r="R17" s="600"/>
      <c r="S17" s="600"/>
      <c r="T17" s="600"/>
      <c r="U17" s="600"/>
      <c r="V17" s="600"/>
      <c r="W17" s="600"/>
      <c r="X17" s="600"/>
      <c r="Y17" s="600"/>
      <c r="Z17" s="600"/>
      <c r="AA17" s="600"/>
    </row>
    <row r="18" spans="1:27" ht="45" x14ac:dyDescent="0.25">
      <c r="A18" s="396"/>
      <c r="B18" s="731">
        <v>12</v>
      </c>
      <c r="C18" s="674" t="str">
        <f>'Tiên lượng'!C24</f>
        <v>BB.11211</v>
      </c>
      <c r="D18" s="255" t="str">
        <f>'Tiên lượng'!D24</f>
        <v>Lắp đặt ống bê tông bằng cần cẩu, đoạn ống dài 1m - Đường kính ≤600mm</v>
      </c>
      <c r="E18" s="731" t="str">
        <f>'Tiên lượng'!E24</f>
        <v>1 đoạn ống</v>
      </c>
      <c r="F18" s="282">
        <f>'Tiên lượng'!M24</f>
        <v>5</v>
      </c>
      <c r="G18" s="52">
        <f>'Chiết tính rút gọn'!J55</f>
        <v>1050525</v>
      </c>
      <c r="H18" s="52"/>
      <c r="I18" s="52">
        <f>'Chiết tính rút gọn'!J58</f>
        <v>70200</v>
      </c>
      <c r="J18" s="52">
        <f>'Chiết tính rút gọn'!J60</f>
        <v>63337.465799999998</v>
      </c>
      <c r="K18" s="52">
        <f t="shared" si="0"/>
        <v>1184062.4657999999</v>
      </c>
      <c r="L18" s="52">
        <f t="shared" si="1"/>
        <v>5252625</v>
      </c>
      <c r="M18" s="52">
        <f t="shared" si="2"/>
        <v>0</v>
      </c>
      <c r="N18" s="52">
        <f t="shared" si="3"/>
        <v>351000</v>
      </c>
      <c r="O18" s="52">
        <f t="shared" si="4"/>
        <v>316687.32899999997</v>
      </c>
      <c r="P18" s="52">
        <f t="shared" si="5"/>
        <v>5920312.3289999999</v>
      </c>
      <c r="Q18" s="600"/>
      <c r="R18" s="600"/>
      <c r="S18" s="600"/>
      <c r="T18" s="600"/>
      <c r="U18" s="600"/>
      <c r="V18" s="600"/>
      <c r="W18" s="600"/>
      <c r="X18" s="600"/>
      <c r="Y18" s="600"/>
      <c r="Z18" s="600"/>
      <c r="AA18" s="600"/>
    </row>
    <row r="19" spans="1:27" ht="30" x14ac:dyDescent="0.25">
      <c r="A19" s="396"/>
      <c r="B19" s="731">
        <v>13</v>
      </c>
      <c r="C19" s="674" t="str">
        <f>'Tiên lượng'!C25</f>
        <v>TT</v>
      </c>
      <c r="D19" s="255" t="str">
        <f>'Tiên lượng'!D25</f>
        <v>Thi công hố ga 2 đầu cống</v>
      </c>
      <c r="E19" s="731" t="str">
        <f>'Tiên lượng'!E25</f>
        <v>cái</v>
      </c>
      <c r="F19" s="282">
        <f>'Tiên lượng'!M25</f>
        <v>2</v>
      </c>
      <c r="G19" s="52">
        <f>'Chiết tính rút gọn'!J64</f>
        <v>1000000</v>
      </c>
      <c r="H19" s="52"/>
      <c r="I19" s="52">
        <f>'Chiết tính rút gọn'!J66</f>
        <v>1000000</v>
      </c>
      <c r="J19" s="52"/>
      <c r="K19" s="52">
        <f t="shared" si="0"/>
        <v>2000000</v>
      </c>
      <c r="L19" s="52">
        <f t="shared" si="1"/>
        <v>2000000</v>
      </c>
      <c r="M19" s="52">
        <f t="shared" si="2"/>
        <v>0</v>
      </c>
      <c r="N19" s="52">
        <f t="shared" si="3"/>
        <v>2000000</v>
      </c>
      <c r="O19" s="52">
        <f t="shared" si="4"/>
        <v>0</v>
      </c>
      <c r="P19" s="52">
        <f t="shared" si="5"/>
        <v>4000000</v>
      </c>
      <c r="Q19" s="600"/>
      <c r="R19" s="600"/>
      <c r="S19" s="600"/>
      <c r="T19" s="600"/>
      <c r="U19" s="600"/>
      <c r="V19" s="600"/>
      <c r="W19" s="600"/>
      <c r="X19" s="600"/>
      <c r="Y19" s="600"/>
      <c r="Z19" s="600"/>
      <c r="AA19" s="600"/>
    </row>
    <row r="20" spans="1:27" ht="30" x14ac:dyDescent="0.25">
      <c r="A20" s="396"/>
      <c r="B20" s="731">
        <v>14</v>
      </c>
      <c r="C20" s="674" t="str">
        <f>'Tiên lượng'!C27</f>
        <v>AL.16201</v>
      </c>
      <c r="D20" s="255" t="str">
        <f>'Tiên lượng'!D27</f>
        <v>Rải giấy ni long lớp cách ly</v>
      </c>
      <c r="E20" s="731" t="str">
        <f>'Tiên lượng'!E27</f>
        <v>100m2</v>
      </c>
      <c r="F20" s="282">
        <f>'Tiên lượng'!M27</f>
        <v>18.594999999999999</v>
      </c>
      <c r="G20" s="52">
        <f>'Chiết tính rút gọn'!J69</f>
        <v>440880</v>
      </c>
      <c r="H20" s="52"/>
      <c r="I20" s="52">
        <f>'Chiết tính rút gọn'!J72</f>
        <v>40500</v>
      </c>
      <c r="J20" s="52"/>
      <c r="K20" s="52">
        <f t="shared" si="0"/>
        <v>481380</v>
      </c>
      <c r="L20" s="52">
        <f t="shared" si="1"/>
        <v>8198163.5999999996</v>
      </c>
      <c r="M20" s="52">
        <f t="shared" si="2"/>
        <v>0</v>
      </c>
      <c r="N20" s="52">
        <f t="shared" si="3"/>
        <v>753097.5</v>
      </c>
      <c r="O20" s="52">
        <f t="shared" si="4"/>
        <v>0</v>
      </c>
      <c r="P20" s="52">
        <f t="shared" si="5"/>
        <v>8951261.0999999996</v>
      </c>
      <c r="Q20" s="600"/>
      <c r="R20" s="600"/>
      <c r="S20" s="600"/>
      <c r="T20" s="600"/>
      <c r="U20" s="600"/>
      <c r="V20" s="600"/>
      <c r="W20" s="600"/>
      <c r="X20" s="600"/>
      <c r="Y20" s="600"/>
      <c r="Z20" s="600"/>
      <c r="AA20" s="600"/>
    </row>
    <row r="21" spans="1:27" ht="30" x14ac:dyDescent="0.25">
      <c r="A21" s="396"/>
      <c r="B21" s="731">
        <v>15</v>
      </c>
      <c r="C21" s="674" t="str">
        <f>'Tiên lượng'!C30</f>
        <v>AF.82411</v>
      </c>
      <c r="D21" s="255" t="str">
        <f>'Tiên lượng'!D30</f>
        <v>Ván khuôn thép mặt đường bê tông</v>
      </c>
      <c r="E21" s="731" t="str">
        <f>'Tiên lượng'!E30</f>
        <v>100m2</v>
      </c>
      <c r="F21" s="282">
        <f>'Tiên lượng'!M30</f>
        <v>2.0680000000000001</v>
      </c>
      <c r="G21" s="52">
        <f>'Chiết tính rút gọn'!J75</f>
        <v>582442.17038946901</v>
      </c>
      <c r="H21" s="52"/>
      <c r="I21" s="52">
        <f>'Chiết tính rút gọn'!J79</f>
        <v>3370558</v>
      </c>
      <c r="J21" s="52">
        <f>'Chiết tính rút gọn'!J81</f>
        <v>182920.80239999999</v>
      </c>
      <c r="K21" s="52">
        <f t="shared" si="0"/>
        <v>4135920.9727894687</v>
      </c>
      <c r="L21" s="52">
        <f t="shared" si="1"/>
        <v>1204490.4083654219</v>
      </c>
      <c r="M21" s="52">
        <f t="shared" si="2"/>
        <v>0</v>
      </c>
      <c r="N21" s="52">
        <f t="shared" si="3"/>
        <v>6970313.9440000001</v>
      </c>
      <c r="O21" s="52">
        <f t="shared" si="4"/>
        <v>378280.21936319995</v>
      </c>
      <c r="P21" s="52">
        <f t="shared" si="5"/>
        <v>8553084.5717286225</v>
      </c>
      <c r="Q21" s="600"/>
      <c r="R21" s="600"/>
      <c r="S21" s="600"/>
      <c r="T21" s="600"/>
      <c r="U21" s="600"/>
      <c r="V21" s="600"/>
      <c r="W21" s="600"/>
      <c r="X21" s="600"/>
      <c r="Y21" s="600"/>
      <c r="Z21" s="600"/>
      <c r="AA21" s="600"/>
    </row>
    <row r="22" spans="1:27" ht="90" x14ac:dyDescent="0.25">
      <c r="A22" s="396"/>
      <c r="B22" s="731">
        <v>16</v>
      </c>
      <c r="C22" s="674" t="str">
        <f>'Tiên lượng'!C32</f>
        <v>AF.15434A</v>
      </c>
      <c r="D22" s="255" t="str">
        <f>'Tiên lượng'!D32</f>
        <v>Bê tông sản xuất bằng máy trộn và đổ bằng thủ công, bê tông mặt đường dày mặt đường ≤25cm, bê tông M250, đá 2x4, PCB30</v>
      </c>
      <c r="E22" s="731" t="str">
        <f>'Tiên lượng'!E32</f>
        <v>m3</v>
      </c>
      <c r="F22" s="282">
        <f>'Tiên lượng'!M32</f>
        <v>371.90000000000003</v>
      </c>
      <c r="G22" s="52">
        <f>'Chiết tính rút gọn'!J85</f>
        <v>1566233.024253645</v>
      </c>
      <c r="H22" s="52"/>
      <c r="I22" s="52">
        <f>'Chiết tính rút gọn'!J93</f>
        <v>369900</v>
      </c>
      <c r="J22" s="52">
        <f>'Chiết tính rút gọn'!J95</f>
        <v>82287.9084</v>
      </c>
      <c r="K22" s="52">
        <f t="shared" si="0"/>
        <v>2018420.9326536451</v>
      </c>
      <c r="L22" s="52">
        <f t="shared" si="1"/>
        <v>582482061.71993065</v>
      </c>
      <c r="M22" s="52">
        <f t="shared" si="2"/>
        <v>0</v>
      </c>
      <c r="N22" s="52">
        <f t="shared" si="3"/>
        <v>137565810</v>
      </c>
      <c r="O22" s="52">
        <f t="shared" si="4"/>
        <v>30602873.133960001</v>
      </c>
      <c r="P22" s="52">
        <f t="shared" si="5"/>
        <v>750650744.85389066</v>
      </c>
      <c r="Q22" s="600"/>
      <c r="R22" s="600"/>
      <c r="S22" s="600"/>
      <c r="T22" s="600"/>
      <c r="U22" s="600"/>
      <c r="V22" s="600"/>
      <c r="W22" s="600"/>
      <c r="X22" s="600"/>
      <c r="Y22" s="600"/>
      <c r="Z22" s="600"/>
      <c r="AA22" s="600"/>
    </row>
    <row r="23" spans="1:27" ht="45" x14ac:dyDescent="0.25">
      <c r="A23" s="396"/>
      <c r="B23" s="731">
        <v>17</v>
      </c>
      <c r="C23" s="674" t="str">
        <f>'Tiên lượng'!C35</f>
        <v>AL.22111</v>
      </c>
      <c r="D23" s="255" t="str">
        <f>'Tiên lượng'!D35</f>
        <v>Cắt khe co, dãn mặt đường BTXM ( 5m cắt 1 mạch)</v>
      </c>
      <c r="E23" s="731" t="str">
        <f>'Tiên lượng'!E35</f>
        <v>10m</v>
      </c>
      <c r="F23" s="282">
        <f>'Tiên lượng'!M35</f>
        <v>36.190000000000005</v>
      </c>
      <c r="G23" s="52">
        <f>'Chiết tính rút gọn'!J101</f>
        <v>7185</v>
      </c>
      <c r="H23" s="52"/>
      <c r="I23" s="52">
        <f>'Chiết tính rút gọn'!J104</f>
        <v>148500</v>
      </c>
      <c r="J23" s="52">
        <f>'Chiết tính rút gọn'!J106</f>
        <v>69677.740000000005</v>
      </c>
      <c r="K23" s="52">
        <f t="shared" si="0"/>
        <v>225362.74</v>
      </c>
      <c r="L23" s="52">
        <f t="shared" si="1"/>
        <v>260025.15000000002</v>
      </c>
      <c r="M23" s="52">
        <f t="shared" si="2"/>
        <v>0</v>
      </c>
      <c r="N23" s="52">
        <f t="shared" si="3"/>
        <v>5374215.0000000009</v>
      </c>
      <c r="O23" s="52">
        <f t="shared" si="4"/>
        <v>2521637.4106000005</v>
      </c>
      <c r="P23" s="52">
        <f t="shared" si="5"/>
        <v>8155877.5606000014</v>
      </c>
      <c r="Q23" s="600"/>
      <c r="R23" s="600"/>
      <c r="S23" s="600"/>
      <c r="T23" s="600"/>
      <c r="U23" s="600"/>
      <c r="V23" s="600"/>
      <c r="W23" s="600"/>
      <c r="X23" s="600"/>
      <c r="Y23" s="600"/>
      <c r="Z23" s="600"/>
      <c r="AA23" s="600"/>
    </row>
    <row r="24" spans="1:27" ht="30" x14ac:dyDescent="0.25">
      <c r="A24" s="396"/>
      <c r="B24" s="731">
        <v>18</v>
      </c>
      <c r="C24" s="674" t="str">
        <f>'Tiên lượng'!C37</f>
        <v>TT</v>
      </c>
      <c r="D24" s="255" t="str">
        <f>'Tiên lượng'!D37</f>
        <v>Công tác đánh bóng mặt đường bằng máy</v>
      </c>
      <c r="E24" s="731" t="str">
        <f>'Tiên lượng'!E37</f>
        <v>m2</v>
      </c>
      <c r="F24" s="282">
        <f>'Tiên lượng'!M37</f>
        <v>1859.5</v>
      </c>
      <c r="G24" s="52">
        <f>'Chiết tính rút gọn'!J109</f>
        <v>5000</v>
      </c>
      <c r="H24" s="52"/>
      <c r="I24" s="52">
        <f>'Chiết tính rút gọn'!J111</f>
        <v>12000</v>
      </c>
      <c r="J24" s="52"/>
      <c r="K24" s="52">
        <f t="shared" si="0"/>
        <v>17000</v>
      </c>
      <c r="L24" s="52">
        <f t="shared" si="1"/>
        <v>9297500</v>
      </c>
      <c r="M24" s="52">
        <f t="shared" si="2"/>
        <v>0</v>
      </c>
      <c r="N24" s="52">
        <f t="shared" si="3"/>
        <v>22314000</v>
      </c>
      <c r="O24" s="52">
        <f t="shared" si="4"/>
        <v>0</v>
      </c>
      <c r="P24" s="52">
        <f t="shared" si="5"/>
        <v>31611500</v>
      </c>
      <c r="Q24" s="600"/>
      <c r="R24" s="600"/>
      <c r="S24" s="600"/>
      <c r="T24" s="600"/>
      <c r="U24" s="600"/>
      <c r="V24" s="600"/>
      <c r="W24" s="600"/>
      <c r="X24" s="600"/>
      <c r="Y24" s="600"/>
      <c r="Z24" s="600"/>
      <c r="AA24" s="600"/>
    </row>
    <row r="25" spans="1:27" ht="60" x14ac:dyDescent="0.25">
      <c r="A25" s="396"/>
      <c r="B25" s="731">
        <v>19</v>
      </c>
      <c r="C25" s="674" t="str">
        <f>'Tiên lượng'!C40</f>
        <v>AB.27103</v>
      </c>
      <c r="D25" s="255" t="str">
        <f>'Tiên lượng'!D40</f>
        <v>Đào kênh mương, chiều rộng kênh mương ≤6m bằng máy đào 0,4m3 - Cấp đất III</v>
      </c>
      <c r="E25" s="731" t="str">
        <f>'Tiên lượng'!E40</f>
        <v>100m3</v>
      </c>
      <c r="F25" s="282">
        <f>'Tiên lượng'!M40</f>
        <v>0.41360000000000008</v>
      </c>
      <c r="G25" s="52"/>
      <c r="H25" s="52"/>
      <c r="I25" s="52">
        <f>'Chiết tính rút gọn'!J114</f>
        <v>1392283.6199999999</v>
      </c>
      <c r="J25" s="52">
        <f>'Chiết tính rút gọn'!J116</f>
        <v>2542400</v>
      </c>
      <c r="K25" s="52">
        <f t="shared" si="0"/>
        <v>3934683.62</v>
      </c>
      <c r="L25" s="52">
        <f t="shared" si="1"/>
        <v>0</v>
      </c>
      <c r="M25" s="52">
        <f t="shared" si="2"/>
        <v>0</v>
      </c>
      <c r="N25" s="52">
        <f t="shared" si="3"/>
        <v>575848.50523200002</v>
      </c>
      <c r="O25" s="52">
        <f t="shared" si="4"/>
        <v>1051536.6400000001</v>
      </c>
      <c r="P25" s="52">
        <f t="shared" si="5"/>
        <v>1627385.1452320002</v>
      </c>
      <c r="Q25" s="600"/>
      <c r="R25" s="600"/>
      <c r="S25" s="600"/>
      <c r="T25" s="600"/>
      <c r="U25" s="600"/>
      <c r="V25" s="600"/>
      <c r="W25" s="600"/>
      <c r="X25" s="600"/>
      <c r="Y25" s="600"/>
      <c r="Z25" s="600"/>
      <c r="AA25" s="600"/>
    </row>
    <row r="26" spans="1:27" ht="75" x14ac:dyDescent="0.25">
      <c r="A26" s="396"/>
      <c r="B26" s="731">
        <v>20</v>
      </c>
      <c r="C26" s="674" t="str">
        <f>'Tiên lượng'!C42</f>
        <v>AB.11503</v>
      </c>
      <c r="D26" s="255" t="str">
        <f>'Tiên lượng'!D42</f>
        <v>Đào kênh mương, rãnh thoát nước, đường ống, đường cáp bằng thủ công, rộng ≤1m, sâu ≤1m - Cấp đất III</v>
      </c>
      <c r="E26" s="731" t="str">
        <f>'Tiên lượng'!E42</f>
        <v>1m3</v>
      </c>
      <c r="F26" s="282">
        <f>'Tiên lượng'!M42</f>
        <v>17.13</v>
      </c>
      <c r="G26" s="52"/>
      <c r="H26" s="52"/>
      <c r="I26" s="52">
        <f>'Chiết tính rút gọn'!J119</f>
        <v>370361.16000000003</v>
      </c>
      <c r="J26" s="52"/>
      <c r="K26" s="52">
        <f t="shared" si="0"/>
        <v>370361.16000000003</v>
      </c>
      <c r="L26" s="52">
        <f t="shared" si="1"/>
        <v>0</v>
      </c>
      <c r="M26" s="52">
        <f t="shared" si="2"/>
        <v>0</v>
      </c>
      <c r="N26" s="52">
        <f t="shared" si="3"/>
        <v>6344286.6708000004</v>
      </c>
      <c r="O26" s="52">
        <f t="shared" si="4"/>
        <v>0</v>
      </c>
      <c r="P26" s="52">
        <f t="shared" si="5"/>
        <v>6344286.6708000004</v>
      </c>
      <c r="Q26" s="600"/>
      <c r="R26" s="600"/>
      <c r="S26" s="600"/>
      <c r="T26" s="600"/>
      <c r="U26" s="600"/>
      <c r="V26" s="600"/>
      <c r="W26" s="600"/>
      <c r="X26" s="600"/>
      <c r="Y26" s="600"/>
      <c r="Z26" s="600"/>
      <c r="AA26" s="600"/>
    </row>
    <row r="27" spans="1:27" ht="30" x14ac:dyDescent="0.25">
      <c r="A27" s="396"/>
      <c r="B27" s="731">
        <v>21</v>
      </c>
      <c r="C27" s="674" t="str">
        <f>'Tiên lượng'!C44</f>
        <v>TT</v>
      </c>
      <c r="D27" s="255" t="str">
        <f>'Tiên lượng'!D44</f>
        <v>Ô tô vận chuyển đất đi đổ</v>
      </c>
      <c r="E27" s="731" t="str">
        <f>'Tiên lượng'!E44</f>
        <v>ca</v>
      </c>
      <c r="F27" s="282">
        <f>'Tiên lượng'!M44</f>
        <v>1</v>
      </c>
      <c r="G27" s="52"/>
      <c r="H27" s="52"/>
      <c r="I27" s="52"/>
      <c r="J27" s="52">
        <f>'Chiết tính rút gọn'!J122</f>
        <v>2000000</v>
      </c>
      <c r="K27" s="52">
        <f t="shared" si="0"/>
        <v>2000000</v>
      </c>
      <c r="L27" s="52">
        <f t="shared" si="1"/>
        <v>0</v>
      </c>
      <c r="M27" s="52">
        <f t="shared" si="2"/>
        <v>0</v>
      </c>
      <c r="N27" s="52">
        <f t="shared" si="3"/>
        <v>0</v>
      </c>
      <c r="O27" s="52">
        <f t="shared" si="4"/>
        <v>2000000</v>
      </c>
      <c r="P27" s="52">
        <f t="shared" si="5"/>
        <v>2000000</v>
      </c>
      <c r="Q27" s="600"/>
      <c r="R27" s="600"/>
      <c r="S27" s="600"/>
      <c r="T27" s="600"/>
      <c r="U27" s="600"/>
      <c r="V27" s="600"/>
      <c r="W27" s="600"/>
      <c r="X27" s="600"/>
      <c r="Y27" s="600"/>
      <c r="Z27" s="600"/>
      <c r="AA27" s="600"/>
    </row>
    <row r="28" spans="1:27" ht="45" x14ac:dyDescent="0.25">
      <c r="A28" s="419"/>
      <c r="B28" s="377">
        <v>22</v>
      </c>
      <c r="C28" s="308" t="str">
        <f>'Tiên lượng'!C45</f>
        <v>SF.11311.VD</v>
      </c>
      <c r="D28" s="798" t="str">
        <f>'Tiên lượng'!D45</f>
        <v>Đắp phụ nền, lề đường bằng Đá dăm cấp phối loại II (Subbase)</v>
      </c>
      <c r="E28" s="377" t="str">
        <f>'Tiên lượng'!E45</f>
        <v>m3</v>
      </c>
      <c r="F28" s="824">
        <f>'Tiên lượng'!M45</f>
        <v>113.74000000000001</v>
      </c>
      <c r="G28" s="69">
        <f>'Chiết tính rút gọn'!J125</f>
        <v>564978.53624789999</v>
      </c>
      <c r="H28" s="69"/>
      <c r="I28" s="69">
        <f>'Chiết tính rút gọn'!J127</f>
        <v>67500</v>
      </c>
      <c r="J28" s="69">
        <f>'Chiết tính rút gọn'!J129</f>
        <v>42500</v>
      </c>
      <c r="K28" s="69">
        <f t="shared" si="0"/>
        <v>674978.53624789999</v>
      </c>
      <c r="L28" s="69">
        <f t="shared" si="1"/>
        <v>64260658.712836146</v>
      </c>
      <c r="M28" s="69">
        <f t="shared" si="2"/>
        <v>0</v>
      </c>
      <c r="N28" s="69">
        <f t="shared" si="3"/>
        <v>7677450.0000000009</v>
      </c>
      <c r="O28" s="69">
        <f t="shared" si="4"/>
        <v>4833950</v>
      </c>
      <c r="P28" s="69">
        <f t="shared" si="5"/>
        <v>76772058.712836146</v>
      </c>
      <c r="Q28" s="600"/>
      <c r="R28" s="600"/>
      <c r="S28" s="600"/>
      <c r="T28" s="600"/>
      <c r="U28" s="600"/>
      <c r="V28" s="600"/>
      <c r="W28" s="600"/>
      <c r="X28" s="600"/>
      <c r="Y28" s="600"/>
      <c r="Z28" s="600"/>
      <c r="AA28" s="600"/>
    </row>
    <row r="29" spans="1:27" x14ac:dyDescent="0.25">
      <c r="A29" s="417" t="s">
        <v>512</v>
      </c>
      <c r="B29" s="842"/>
      <c r="C29" s="787"/>
      <c r="D29" s="386" t="s">
        <v>1197</v>
      </c>
      <c r="E29" s="842"/>
      <c r="F29" s="411"/>
      <c r="G29" s="188"/>
      <c r="H29" s="188"/>
      <c r="I29" s="188"/>
      <c r="J29" s="188"/>
      <c r="K29" s="188"/>
      <c r="L29" s="188">
        <f t="shared" ref="L29:P29" si="6">SUM(L7:L28)</f>
        <v>708365207.4338243</v>
      </c>
      <c r="M29" s="188">
        <f t="shared" si="6"/>
        <v>0</v>
      </c>
      <c r="N29" s="188">
        <f t="shared" si="6"/>
        <v>198995725.92345601</v>
      </c>
      <c r="O29" s="188">
        <f t="shared" si="6"/>
        <v>79646596.130557612</v>
      </c>
      <c r="P29" s="188">
        <f t="shared" si="6"/>
        <v>987007529.48783791</v>
      </c>
      <c r="Q29" s="600"/>
      <c r="R29" s="600"/>
      <c r="S29" s="600"/>
      <c r="T29" s="600"/>
      <c r="U29" s="600"/>
      <c r="V29" s="600"/>
      <c r="W29" s="600"/>
      <c r="X29" s="600"/>
      <c r="Y29" s="600"/>
      <c r="Z29" s="600"/>
      <c r="AA29" s="600"/>
    </row>
    <row r="30" spans="1:27" x14ac:dyDescent="0.25">
      <c r="B30" s="600"/>
      <c r="C30" s="600"/>
      <c r="D30" s="600"/>
      <c r="E30" s="600"/>
      <c r="F30" s="600"/>
      <c r="G30" s="600"/>
      <c r="H30" s="600"/>
      <c r="I30" s="600"/>
      <c r="J30" s="600"/>
      <c r="K30" s="600"/>
      <c r="L30" s="600"/>
      <c r="M30" s="600"/>
      <c r="N30" s="600"/>
      <c r="O30" s="600"/>
      <c r="P30" s="600"/>
      <c r="Q30" s="600"/>
      <c r="R30" s="600"/>
      <c r="S30" s="600"/>
      <c r="T30" s="600"/>
      <c r="U30" s="600"/>
      <c r="V30" s="600"/>
      <c r="W30" s="600"/>
      <c r="X30" s="600"/>
      <c r="Y30" s="600"/>
      <c r="Z30" s="600"/>
      <c r="AA30" s="600"/>
    </row>
    <row r="31" spans="1:27" x14ac:dyDescent="0.25">
      <c r="B31" s="600"/>
      <c r="C31" s="600"/>
      <c r="D31" s="600"/>
      <c r="E31" s="600"/>
      <c r="F31" s="600"/>
      <c r="G31" s="600"/>
      <c r="H31" s="600"/>
      <c r="I31" s="600"/>
      <c r="J31" s="600"/>
      <c r="K31" s="600"/>
      <c r="L31" s="600"/>
      <c r="M31" s="600"/>
      <c r="N31" s="600"/>
      <c r="O31" s="600"/>
      <c r="P31" s="600"/>
      <c r="Q31" s="600"/>
      <c r="R31" s="600"/>
      <c r="S31" s="600"/>
      <c r="T31" s="600"/>
      <c r="U31" s="600"/>
      <c r="V31" s="600"/>
      <c r="W31" s="600"/>
      <c r="X31" s="600"/>
      <c r="Y31" s="600"/>
      <c r="Z31" s="600"/>
      <c r="AA31" s="600"/>
    </row>
    <row r="32" spans="1:27" x14ac:dyDescent="0.25">
      <c r="B32" s="600"/>
      <c r="C32" s="600"/>
      <c r="D32" s="600"/>
      <c r="E32" s="600"/>
      <c r="F32" s="600"/>
      <c r="G32" s="600"/>
      <c r="H32" s="600"/>
      <c r="I32" s="600"/>
      <c r="J32" s="600"/>
      <c r="K32" s="600"/>
      <c r="L32" s="600"/>
      <c r="M32" s="600"/>
      <c r="N32" s="600"/>
      <c r="O32" s="600"/>
      <c r="P32" s="600"/>
      <c r="Q32" s="600"/>
      <c r="R32" s="600"/>
      <c r="S32" s="600"/>
      <c r="T32" s="600"/>
      <c r="U32" s="600"/>
      <c r="V32" s="600"/>
      <c r="W32" s="600"/>
      <c r="X32" s="600"/>
      <c r="Y32" s="600"/>
      <c r="Z32" s="600"/>
      <c r="AA32" s="600"/>
    </row>
  </sheetData>
  <mergeCells count="12">
    <mergeCell ref="A1:P1"/>
    <mergeCell ref="A2:P2"/>
    <mergeCell ref="A3:P3"/>
    <mergeCell ref="A4:P4"/>
    <mergeCell ref="B5:B6"/>
    <mergeCell ref="C5:C6"/>
    <mergeCell ref="D5:D6"/>
    <mergeCell ref="E5:E6"/>
    <mergeCell ref="F5:F6"/>
    <mergeCell ref="G5:J5"/>
    <mergeCell ref="L5:O5"/>
    <mergeCell ref="P5:P6"/>
  </mergeCells>
  <pageMargins left="0.75" right="0.75" top="0.75" bottom="0.75" header="0.3" footer="0.3"/>
  <pageSetup paperSize="9" orientation="landscape" useFirstPageNumber="1"/>
  <headerFooter>
    <oddFooter>&amp;CTrang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A12"/>
  <sheetViews>
    <sheetView showGridLines="0" showZeros="0" topLeftCell="B1" workbookViewId="0">
      <pane ySplit="4" topLeftCell="A5" activePane="bottomLeft" state="frozen"/>
      <selection sqref="A1:T1"/>
      <selection pane="bottomLeft" sqref="A1:T1"/>
    </sheetView>
  </sheetViews>
  <sheetFormatPr defaultRowHeight="15" x14ac:dyDescent="0.25"/>
  <cols>
    <col min="1" max="1" width="8.85546875" hidden="1" customWidth="1"/>
    <col min="2" max="2" width="3.85546875" bestFit="1" customWidth="1"/>
    <col min="3" max="3" width="7.7109375" bestFit="1" customWidth="1"/>
    <col min="4" max="4" width="44" bestFit="1" customWidth="1"/>
    <col min="5" max="5" width="6.42578125" bestFit="1" customWidth="1"/>
    <col min="6" max="6" width="9" bestFit="1" customWidth="1"/>
    <col min="7" max="7" width="15.42578125" bestFit="1" customWidth="1"/>
    <col min="8" max="8" width="7.42578125" bestFit="1" customWidth="1"/>
  </cols>
  <sheetData>
    <row r="1" spans="1:27" ht="18.75" x14ac:dyDescent="0.25">
      <c r="A1" s="1265" t="s">
        <v>1013</v>
      </c>
      <c r="B1" s="1265"/>
      <c r="C1" s="1265"/>
      <c r="D1" s="1265"/>
      <c r="E1" s="1265"/>
      <c r="F1" s="1265"/>
      <c r="G1" s="1265"/>
      <c r="H1" s="1265"/>
      <c r="I1" s="1265"/>
    </row>
    <row r="2" spans="1:27" x14ac:dyDescent="0.25">
      <c r="A2" s="1266"/>
      <c r="B2" s="1266"/>
      <c r="C2" s="1266"/>
      <c r="D2" s="1266"/>
      <c r="E2" s="1266"/>
      <c r="F2" s="1266"/>
      <c r="G2" s="1266"/>
      <c r="H2" s="1266"/>
      <c r="I2" s="1266"/>
    </row>
    <row r="3" spans="1:27" x14ac:dyDescent="0.25">
      <c r="A3" s="1267" t="s">
        <v>1210</v>
      </c>
      <c r="B3" s="1267"/>
      <c r="C3" s="1267"/>
      <c r="D3" s="1267"/>
      <c r="E3" s="1267"/>
      <c r="F3" s="1267"/>
      <c r="G3" s="1267"/>
      <c r="H3" s="1267"/>
      <c r="I3" s="1267"/>
    </row>
    <row r="4" spans="1:27" x14ac:dyDescent="0.25">
      <c r="A4" s="809" t="s">
        <v>1220</v>
      </c>
      <c r="B4" s="793" t="s">
        <v>1323</v>
      </c>
      <c r="C4" s="793" t="s">
        <v>876</v>
      </c>
      <c r="D4" s="793" t="s">
        <v>153</v>
      </c>
      <c r="E4" s="793" t="s">
        <v>1448</v>
      </c>
      <c r="F4" s="793" t="s">
        <v>1079</v>
      </c>
      <c r="G4" s="793" t="s">
        <v>265</v>
      </c>
      <c r="H4" s="793" t="s">
        <v>1192</v>
      </c>
      <c r="I4" s="793" t="s">
        <v>898</v>
      </c>
      <c r="J4" s="600"/>
      <c r="K4" s="600"/>
      <c r="L4" s="600"/>
      <c r="M4" s="600"/>
      <c r="N4" s="600"/>
      <c r="O4" s="600"/>
      <c r="P4" s="600"/>
      <c r="Q4" s="600"/>
      <c r="R4" s="600"/>
      <c r="S4" s="600"/>
      <c r="T4" s="600"/>
      <c r="U4" s="600"/>
      <c r="V4" s="600"/>
      <c r="W4" s="600"/>
      <c r="X4" s="600"/>
      <c r="Y4" s="600"/>
      <c r="Z4" s="600"/>
      <c r="AA4" s="600"/>
    </row>
    <row r="5" spans="1:27" x14ac:dyDescent="0.25">
      <c r="A5" s="595"/>
      <c r="B5" s="491"/>
      <c r="C5" s="472"/>
      <c r="D5" s="472"/>
      <c r="E5" s="491"/>
      <c r="F5" s="309"/>
      <c r="G5" s="309"/>
      <c r="H5" s="240"/>
      <c r="I5" s="240"/>
      <c r="J5" s="600"/>
      <c r="K5" s="600"/>
      <c r="L5" s="600"/>
      <c r="M5" s="600"/>
      <c r="N5" s="600"/>
      <c r="O5" s="600"/>
      <c r="P5" s="600"/>
      <c r="Q5" s="600"/>
      <c r="R5" s="600"/>
      <c r="S5" s="600"/>
      <c r="T5" s="600"/>
      <c r="U5" s="600"/>
      <c r="V5" s="600"/>
      <c r="W5" s="600"/>
      <c r="X5" s="600"/>
      <c r="Y5" s="600"/>
      <c r="Z5" s="600"/>
      <c r="AA5" s="600"/>
    </row>
    <row r="6" spans="1:27" x14ac:dyDescent="0.25">
      <c r="A6" s="427"/>
      <c r="B6" s="16">
        <v>1</v>
      </c>
      <c r="C6" s="256" t="s">
        <v>710</v>
      </c>
      <c r="D6" s="905" t="s">
        <v>290</v>
      </c>
      <c r="E6" s="16" t="s">
        <v>144</v>
      </c>
      <c r="F6" s="749">
        <v>1.0249999999999999</v>
      </c>
      <c r="G6" s="749"/>
      <c r="H6" s="306"/>
      <c r="I6" s="306">
        <f>SUM(I7:I10)</f>
        <v>1460793.9695386179</v>
      </c>
      <c r="J6" s="600"/>
      <c r="K6" s="600"/>
      <c r="L6" s="600"/>
      <c r="M6" s="600"/>
      <c r="N6" s="600"/>
      <c r="O6" s="600"/>
      <c r="P6" s="600"/>
      <c r="Q6" s="600"/>
      <c r="R6" s="600"/>
      <c r="S6" s="600"/>
      <c r="T6" s="600"/>
      <c r="U6" s="600"/>
      <c r="V6" s="600"/>
      <c r="W6" s="600"/>
      <c r="X6" s="600"/>
      <c r="Y6" s="600"/>
      <c r="Z6" s="600"/>
      <c r="AA6" s="600"/>
    </row>
    <row r="7" spans="1:27" x14ac:dyDescent="0.25">
      <c r="A7" s="498"/>
      <c r="B7" s="782"/>
      <c r="C7" s="490" t="s">
        <v>762</v>
      </c>
      <c r="D7" s="765" t="s">
        <v>1191</v>
      </c>
      <c r="E7" s="782" t="s">
        <v>460</v>
      </c>
      <c r="F7" s="614">
        <v>340</v>
      </c>
      <c r="G7" s="614">
        <f>F6*F7</f>
        <v>348.49999999999994</v>
      </c>
      <c r="H7" s="162">
        <f>'Giá VL'!V19</f>
        <v>1705.1648223132001</v>
      </c>
      <c r="I7" s="162">
        <f t="shared" ref="I7:I10" si="0">G7*H7</f>
        <v>594249.9405761502</v>
      </c>
      <c r="J7" s="600"/>
      <c r="K7" s="600"/>
      <c r="L7" s="600"/>
      <c r="M7" s="600"/>
      <c r="N7" s="600"/>
      <c r="O7" s="600"/>
      <c r="P7" s="600"/>
      <c r="Q7" s="600"/>
      <c r="R7" s="600"/>
      <c r="S7" s="600"/>
      <c r="T7" s="600"/>
      <c r="U7" s="600"/>
      <c r="V7" s="600"/>
      <c r="W7" s="600"/>
      <c r="X7" s="600"/>
      <c r="Y7" s="600"/>
      <c r="Z7" s="600"/>
      <c r="AA7" s="600"/>
    </row>
    <row r="8" spans="1:27" x14ac:dyDescent="0.25">
      <c r="A8" s="498"/>
      <c r="B8" s="782"/>
      <c r="C8" s="490" t="s">
        <v>95</v>
      </c>
      <c r="D8" s="765" t="s">
        <v>630</v>
      </c>
      <c r="E8" s="782" t="s">
        <v>144</v>
      </c>
      <c r="F8" s="614">
        <v>0.51700000000000002</v>
      </c>
      <c r="G8" s="614">
        <f>F6*F8</f>
        <v>0.52992499999999998</v>
      </c>
      <c r="H8" s="162">
        <f>'Giá VL'!V9</f>
        <v>938105.03993760003</v>
      </c>
      <c r="I8" s="162">
        <f t="shared" si="0"/>
        <v>497125.31328893267</v>
      </c>
      <c r="J8" s="600"/>
      <c r="K8" s="600"/>
      <c r="L8" s="600"/>
      <c r="M8" s="600"/>
      <c r="N8" s="600"/>
      <c r="O8" s="600"/>
      <c r="P8" s="600"/>
      <c r="Q8" s="600"/>
      <c r="R8" s="600"/>
      <c r="S8" s="600"/>
      <c r="T8" s="600"/>
      <c r="U8" s="600"/>
      <c r="V8" s="600"/>
      <c r="W8" s="600"/>
      <c r="X8" s="600"/>
      <c r="Y8" s="600"/>
      <c r="Z8" s="600"/>
      <c r="AA8" s="600"/>
    </row>
    <row r="9" spans="1:27" x14ac:dyDescent="0.25">
      <c r="A9" s="498"/>
      <c r="B9" s="782"/>
      <c r="C9" s="490" t="s">
        <v>193</v>
      </c>
      <c r="D9" s="765" t="s">
        <v>759</v>
      </c>
      <c r="E9" s="782" t="s">
        <v>144</v>
      </c>
      <c r="F9" s="614">
        <v>0.83899999999999997</v>
      </c>
      <c r="G9" s="614">
        <f>F6*F9</f>
        <v>0.85997499999999993</v>
      </c>
      <c r="H9" s="162">
        <f>'Giá VL'!V10</f>
        <v>426476.16578799998</v>
      </c>
      <c r="I9" s="162">
        <f t="shared" si="0"/>
        <v>366758.84067353525</v>
      </c>
      <c r="J9" s="600"/>
      <c r="K9" s="600"/>
      <c r="L9" s="600"/>
      <c r="M9" s="600"/>
      <c r="N9" s="600"/>
      <c r="O9" s="600"/>
      <c r="P9" s="600"/>
      <c r="Q9" s="600"/>
      <c r="R9" s="600"/>
      <c r="S9" s="600"/>
      <c r="T9" s="600"/>
      <c r="U9" s="600"/>
      <c r="V9" s="600"/>
      <c r="W9" s="600"/>
      <c r="X9" s="600"/>
      <c r="Y9" s="600"/>
      <c r="Z9" s="600"/>
      <c r="AA9" s="600"/>
    </row>
    <row r="10" spans="1:27" x14ac:dyDescent="0.25">
      <c r="A10" s="524"/>
      <c r="B10" s="432"/>
      <c r="C10" s="140" t="s">
        <v>135</v>
      </c>
      <c r="D10" s="407" t="s">
        <v>938</v>
      </c>
      <c r="E10" s="432" t="s">
        <v>1431</v>
      </c>
      <c r="F10" s="247">
        <v>173</v>
      </c>
      <c r="G10" s="247">
        <f>F6*F10</f>
        <v>177.32499999999999</v>
      </c>
      <c r="H10" s="184">
        <f>'Giá VL'!V15</f>
        <v>15</v>
      </c>
      <c r="I10" s="184">
        <f t="shared" si="0"/>
        <v>2659.875</v>
      </c>
      <c r="J10" s="600"/>
      <c r="K10" s="600"/>
      <c r="L10" s="600"/>
      <c r="M10" s="600"/>
      <c r="N10" s="600"/>
      <c r="O10" s="600"/>
      <c r="P10" s="600"/>
      <c r="Q10" s="600"/>
      <c r="R10" s="600"/>
      <c r="S10" s="600"/>
      <c r="T10" s="600"/>
      <c r="U10" s="600"/>
      <c r="V10" s="600"/>
      <c r="W10" s="600"/>
      <c r="X10" s="600"/>
      <c r="Y10" s="600"/>
      <c r="Z10" s="600"/>
      <c r="AA10" s="600"/>
    </row>
    <row r="11" spans="1:27" x14ac:dyDescent="0.25">
      <c r="B11" s="600"/>
      <c r="C11" s="600"/>
      <c r="D11" s="600"/>
      <c r="E11" s="600"/>
      <c r="F11" s="600"/>
      <c r="G11" s="600"/>
      <c r="H11" s="600"/>
      <c r="I11" s="600"/>
      <c r="J11" s="600"/>
      <c r="K11" s="600"/>
      <c r="L11" s="600"/>
      <c r="M11" s="600"/>
      <c r="N11" s="600"/>
      <c r="O11" s="600"/>
      <c r="P11" s="600"/>
      <c r="Q11" s="600"/>
      <c r="R11" s="600"/>
      <c r="S11" s="600"/>
      <c r="T11" s="600"/>
      <c r="U11" s="600"/>
      <c r="V11" s="600"/>
      <c r="W11" s="600"/>
      <c r="X11" s="600"/>
      <c r="Y11" s="600"/>
      <c r="Z11" s="600"/>
      <c r="AA11" s="600"/>
    </row>
    <row r="12" spans="1:27" x14ac:dyDescent="0.25">
      <c r="B12" s="600"/>
      <c r="C12" s="600"/>
      <c r="D12" s="600"/>
      <c r="E12" s="600"/>
      <c r="F12" s="600"/>
      <c r="G12" s="600"/>
      <c r="H12" s="600"/>
      <c r="I12" s="600"/>
      <c r="J12" s="600"/>
      <c r="K12" s="600"/>
      <c r="L12" s="600"/>
      <c r="M12" s="600"/>
      <c r="N12" s="600"/>
      <c r="O12" s="600"/>
      <c r="P12" s="600"/>
      <c r="Q12" s="600"/>
      <c r="R12" s="600"/>
      <c r="S12" s="600"/>
      <c r="T12" s="600"/>
      <c r="U12" s="600"/>
      <c r="V12" s="600"/>
      <c r="W12" s="600"/>
      <c r="X12" s="600"/>
      <c r="Y12" s="600"/>
      <c r="Z12" s="600"/>
      <c r="AA12" s="600"/>
    </row>
  </sheetData>
  <mergeCells count="3">
    <mergeCell ref="A1:I1"/>
    <mergeCell ref="A2:I2"/>
    <mergeCell ref="A3:I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2"/>
  </sheetPr>
  <dimension ref="A1:AA26"/>
  <sheetViews>
    <sheetView showZeros="0" topLeftCell="B1" workbookViewId="0">
      <selection activeCell="D6" sqref="D6"/>
    </sheetView>
  </sheetViews>
  <sheetFormatPr defaultColWidth="9.140625" defaultRowHeight="15" x14ac:dyDescent="0.25"/>
  <cols>
    <col min="1" max="1" width="2" style="794" hidden="1" customWidth="1"/>
    <col min="2" max="2" width="4.7109375" style="794" bestFit="1" customWidth="1"/>
    <col min="3" max="3" width="8.140625" style="794" bestFit="1" customWidth="1"/>
    <col min="4" max="4" width="10.7109375" style="794" customWidth="1"/>
    <col min="5" max="5" width="6.7109375" style="794" bestFit="1" customWidth="1"/>
    <col min="6" max="6" width="8.140625" style="794" bestFit="1" customWidth="1"/>
    <col min="7" max="7" width="7.140625" style="794" bestFit="1" customWidth="1"/>
    <col min="8" max="8" width="8.140625" style="794" bestFit="1" customWidth="1"/>
    <col min="9" max="9" width="9" style="794" bestFit="1" customWidth="1"/>
    <col min="10" max="10" width="11.28515625" style="794" bestFit="1" customWidth="1"/>
    <col min="11" max="12" width="8.140625" style="794" bestFit="1" customWidth="1"/>
    <col min="13" max="13" width="7.28515625" style="794" bestFit="1" customWidth="1"/>
    <col min="14" max="14" width="7.42578125" style="794" bestFit="1" customWidth="1"/>
    <col min="15" max="16" width="8.28515625" style="794" bestFit="1" customWidth="1"/>
    <col min="17" max="20" width="7.85546875" style="794" bestFit="1" customWidth="1"/>
    <col min="21" max="21" width="7.28515625" style="794" bestFit="1" customWidth="1"/>
    <col min="22" max="23" width="7.85546875" style="794" bestFit="1" customWidth="1"/>
    <col min="24" max="24" width="21.7109375" style="794" bestFit="1" customWidth="1"/>
    <col min="25" max="25" width="19.7109375" style="794" bestFit="1" customWidth="1"/>
    <col min="26" max="16384" width="9.140625" style="794"/>
  </cols>
  <sheetData>
    <row r="1" spans="1:27" ht="18.75" x14ac:dyDescent="0.3">
      <c r="A1" s="1101" t="s">
        <v>939</v>
      </c>
      <c r="B1" s="1101" t="s">
        <v>939</v>
      </c>
      <c r="C1" s="1101" t="s">
        <v>939</v>
      </c>
      <c r="D1" s="1101" t="s">
        <v>939</v>
      </c>
      <c r="E1" s="1101" t="s">
        <v>939</v>
      </c>
      <c r="F1" s="1101" t="s">
        <v>939</v>
      </c>
      <c r="G1" s="1101" t="s">
        <v>939</v>
      </c>
      <c r="H1" s="1101" t="s">
        <v>939</v>
      </c>
      <c r="I1" s="1101" t="s">
        <v>939</v>
      </c>
      <c r="J1" s="1101" t="s">
        <v>939</v>
      </c>
      <c r="K1" s="1101" t="s">
        <v>939</v>
      </c>
      <c r="L1" s="1101" t="s">
        <v>939</v>
      </c>
      <c r="M1" s="1101" t="s">
        <v>939</v>
      </c>
      <c r="N1" s="1101" t="s">
        <v>939</v>
      </c>
      <c r="O1" s="1101" t="s">
        <v>939</v>
      </c>
      <c r="P1" s="1101" t="s">
        <v>939</v>
      </c>
      <c r="Q1" s="1101" t="s">
        <v>939</v>
      </c>
      <c r="R1" s="1101" t="s">
        <v>939</v>
      </c>
      <c r="S1" s="1101" t="s">
        <v>939</v>
      </c>
      <c r="T1" s="1101" t="s">
        <v>939</v>
      </c>
      <c r="U1" s="1101" t="s">
        <v>939</v>
      </c>
      <c r="V1" s="1101" t="s">
        <v>939</v>
      </c>
    </row>
    <row r="2" spans="1:27" x14ac:dyDescent="0.25">
      <c r="A2" s="1099" t="s">
        <v>197</v>
      </c>
      <c r="B2" s="1099" t="s">
        <v>197</v>
      </c>
      <c r="C2" s="1099" t="s">
        <v>197</v>
      </c>
      <c r="D2" s="1099" t="s">
        <v>197</v>
      </c>
      <c r="E2" s="1099" t="s">
        <v>197</v>
      </c>
      <c r="F2" s="1099" t="s">
        <v>197</v>
      </c>
      <c r="G2" s="1099" t="s">
        <v>197</v>
      </c>
      <c r="H2" s="1099" t="s">
        <v>197</v>
      </c>
      <c r="I2" s="1099" t="s">
        <v>197</v>
      </c>
      <c r="J2" s="1099" t="s">
        <v>197</v>
      </c>
      <c r="K2" s="1099" t="s">
        <v>197</v>
      </c>
      <c r="L2" s="1099" t="s">
        <v>197</v>
      </c>
      <c r="M2" s="1099" t="s">
        <v>197</v>
      </c>
      <c r="N2" s="1099" t="s">
        <v>197</v>
      </c>
      <c r="O2" s="1099" t="s">
        <v>197</v>
      </c>
      <c r="P2" s="1099" t="s">
        <v>197</v>
      </c>
      <c r="Q2" s="1099" t="s">
        <v>197</v>
      </c>
      <c r="R2" s="1099" t="s">
        <v>197</v>
      </c>
      <c r="S2" s="1099" t="s">
        <v>197</v>
      </c>
      <c r="T2" s="1099" t="s">
        <v>197</v>
      </c>
      <c r="U2" s="1099" t="s">
        <v>197</v>
      </c>
      <c r="V2" s="1099" t="s">
        <v>197</v>
      </c>
    </row>
    <row r="3" spans="1:27" x14ac:dyDescent="0.25">
      <c r="A3" s="1099" t="s">
        <v>1409</v>
      </c>
      <c r="B3" s="1099" t="s">
        <v>1409</v>
      </c>
      <c r="C3" s="1099" t="s">
        <v>1409</v>
      </c>
      <c r="D3" s="1099" t="s">
        <v>1409</v>
      </c>
      <c r="E3" s="1099" t="s">
        <v>1409</v>
      </c>
      <c r="F3" s="1099" t="s">
        <v>1409</v>
      </c>
      <c r="G3" s="1099" t="s">
        <v>1409</v>
      </c>
      <c r="H3" s="1099" t="s">
        <v>1409</v>
      </c>
      <c r="I3" s="1099" t="s">
        <v>1409</v>
      </c>
      <c r="J3" s="1099" t="s">
        <v>1409</v>
      </c>
      <c r="K3" s="1099" t="s">
        <v>1409</v>
      </c>
      <c r="L3" s="1099" t="s">
        <v>1409</v>
      </c>
      <c r="M3" s="1099" t="s">
        <v>1409</v>
      </c>
      <c r="N3" s="1099" t="s">
        <v>1409</v>
      </c>
      <c r="O3" s="1099" t="s">
        <v>1409</v>
      </c>
      <c r="P3" s="1099" t="s">
        <v>1409</v>
      </c>
      <c r="Q3" s="1099" t="s">
        <v>1409</v>
      </c>
      <c r="R3" s="1099" t="s">
        <v>1409</v>
      </c>
      <c r="S3" s="1099" t="s">
        <v>1409</v>
      </c>
      <c r="T3" s="1099" t="s">
        <v>1409</v>
      </c>
      <c r="U3" s="1099" t="s">
        <v>1409</v>
      </c>
      <c r="V3" s="1099" t="s">
        <v>1409</v>
      </c>
    </row>
    <row r="4" spans="1:27" x14ac:dyDescent="0.25">
      <c r="B4" s="874"/>
      <c r="C4" s="864"/>
      <c r="D4" s="874"/>
      <c r="E4" s="874"/>
      <c r="F4" s="874"/>
      <c r="G4" s="874"/>
      <c r="H4" s="874"/>
      <c r="I4" s="874"/>
      <c r="J4" s="874"/>
      <c r="K4" s="874"/>
      <c r="L4" s="874"/>
      <c r="M4" s="874"/>
      <c r="N4" s="874"/>
      <c r="O4" s="874"/>
      <c r="P4" s="874"/>
      <c r="Q4" s="874"/>
      <c r="R4" s="874"/>
      <c r="S4" s="874"/>
      <c r="T4" s="874"/>
      <c r="U4" s="874"/>
      <c r="V4" s="874"/>
      <c r="W4" s="872"/>
      <c r="X4" s="754" t="s">
        <v>1125</v>
      </c>
      <c r="Y4" s="5">
        <v>0</v>
      </c>
      <c r="Z4" s="874"/>
      <c r="AA4" s="874"/>
    </row>
    <row r="5" spans="1:27" x14ac:dyDescent="0.25">
      <c r="B5" s="874"/>
      <c r="C5" s="864"/>
      <c r="D5" s="874"/>
      <c r="E5" s="874"/>
      <c r="F5" s="874"/>
      <c r="G5" s="874"/>
      <c r="H5" s="874"/>
      <c r="I5" s="874"/>
      <c r="J5" s="874"/>
      <c r="K5" s="874"/>
      <c r="L5" s="874"/>
      <c r="M5" s="874"/>
      <c r="N5" s="874"/>
      <c r="O5" s="874"/>
      <c r="P5" s="874"/>
      <c r="Q5" s="874"/>
      <c r="R5" s="874"/>
      <c r="S5" s="874"/>
      <c r="T5" s="874"/>
      <c r="U5" s="874"/>
      <c r="V5" s="874"/>
      <c r="W5" s="874"/>
      <c r="X5" s="754" t="s">
        <v>224</v>
      </c>
      <c r="Y5" s="12">
        <v>0.1</v>
      </c>
      <c r="Z5" s="874"/>
      <c r="AA5" s="874"/>
    </row>
    <row r="6" spans="1:27" x14ac:dyDescent="0.25">
      <c r="B6" s="874"/>
      <c r="C6" s="864"/>
      <c r="D6" s="874"/>
      <c r="E6" s="874"/>
      <c r="F6" s="874"/>
      <c r="G6" s="874"/>
      <c r="H6" s="874"/>
      <c r="I6" s="874"/>
      <c r="J6" s="874"/>
      <c r="K6" s="874"/>
      <c r="L6" s="874"/>
      <c r="M6" s="874"/>
      <c r="N6" s="874"/>
      <c r="O6" s="874"/>
      <c r="P6" s="874"/>
      <c r="Q6" s="874"/>
      <c r="R6" s="874"/>
      <c r="S6" s="874"/>
      <c r="T6" s="874"/>
      <c r="U6" s="874"/>
      <c r="V6" s="874"/>
      <c r="W6" s="874"/>
      <c r="X6" s="754" t="s">
        <v>256</v>
      </c>
      <c r="Y6" s="5">
        <v>1</v>
      </c>
      <c r="Z6" s="874"/>
      <c r="AA6" s="874"/>
    </row>
    <row r="7" spans="1:27" x14ac:dyDescent="0.25">
      <c r="A7" s="1102"/>
      <c r="B7" s="1100" t="s">
        <v>1323</v>
      </c>
      <c r="C7" s="1103" t="s">
        <v>876</v>
      </c>
      <c r="D7" s="1100" t="s">
        <v>275</v>
      </c>
      <c r="E7" s="1100" t="s">
        <v>1448</v>
      </c>
      <c r="F7" s="1100" t="s">
        <v>428</v>
      </c>
      <c r="G7" s="1100" t="s">
        <v>522</v>
      </c>
      <c r="H7" s="1100" t="s">
        <v>707</v>
      </c>
      <c r="I7" s="1100" t="s">
        <v>381</v>
      </c>
      <c r="J7" s="1100" t="s">
        <v>1425</v>
      </c>
      <c r="K7" s="1100"/>
      <c r="L7" s="1100" t="s">
        <v>404</v>
      </c>
      <c r="M7" s="1100"/>
      <c r="N7" s="1100"/>
      <c r="O7" s="1100" t="s">
        <v>638</v>
      </c>
      <c r="P7" s="1100"/>
      <c r="Q7" s="1100"/>
      <c r="R7" s="1100" t="s">
        <v>279</v>
      </c>
      <c r="S7" s="1100"/>
      <c r="T7" s="1100"/>
      <c r="U7" s="1100" t="s">
        <v>1313</v>
      </c>
      <c r="V7" s="1100" t="s">
        <v>1456</v>
      </c>
      <c r="W7" s="1100"/>
      <c r="X7" s="1100" t="s">
        <v>1286</v>
      </c>
      <c r="Y7" s="1100" t="s">
        <v>582</v>
      </c>
      <c r="Z7" s="874"/>
      <c r="AA7" s="874"/>
    </row>
    <row r="8" spans="1:27" ht="57" x14ac:dyDescent="0.25">
      <c r="A8" s="1102"/>
      <c r="B8" s="1100"/>
      <c r="C8" s="1103"/>
      <c r="D8" s="1100"/>
      <c r="E8" s="1100"/>
      <c r="F8" s="1100"/>
      <c r="G8" s="1100"/>
      <c r="H8" s="1100"/>
      <c r="I8" s="1100"/>
      <c r="J8" s="81" t="s">
        <v>1425</v>
      </c>
      <c r="K8" s="81" t="s">
        <v>154</v>
      </c>
      <c r="L8" s="81" t="s">
        <v>404</v>
      </c>
      <c r="M8" s="81" t="s">
        <v>794</v>
      </c>
      <c r="N8" s="81" t="s">
        <v>1216</v>
      </c>
      <c r="O8" s="81" t="s">
        <v>521</v>
      </c>
      <c r="P8" s="81" t="s">
        <v>655</v>
      </c>
      <c r="Q8" s="81" t="s">
        <v>726</v>
      </c>
      <c r="R8" s="81" t="s">
        <v>368</v>
      </c>
      <c r="S8" s="81" t="s">
        <v>1359</v>
      </c>
      <c r="T8" s="81" t="s">
        <v>898</v>
      </c>
      <c r="U8" s="1100"/>
      <c r="V8" s="81" t="s">
        <v>1079</v>
      </c>
      <c r="W8" s="81" t="s">
        <v>898</v>
      </c>
      <c r="X8" s="1100"/>
      <c r="Y8" s="1100"/>
      <c r="Z8" s="874"/>
      <c r="AA8" s="874"/>
    </row>
    <row r="9" spans="1:27" hidden="1" x14ac:dyDescent="0.3">
      <c r="A9" s="61"/>
      <c r="B9" s="180">
        <v>1</v>
      </c>
      <c r="C9" s="522" t="s">
        <v>258</v>
      </c>
      <c r="D9" s="155" t="s">
        <v>1061</v>
      </c>
      <c r="E9" s="180" t="s">
        <v>28</v>
      </c>
      <c r="F9" s="136">
        <v>0</v>
      </c>
      <c r="G9" s="111" t="s">
        <v>387</v>
      </c>
      <c r="H9" s="613">
        <v>1</v>
      </c>
      <c r="I9" s="111"/>
      <c r="J9" s="136" t="s">
        <v>1040</v>
      </c>
      <c r="K9" s="42">
        <v>1</v>
      </c>
      <c r="L9" s="111" t="s">
        <v>73</v>
      </c>
      <c r="M9" s="136">
        <v>0</v>
      </c>
      <c r="N9" s="136">
        <f t="shared" ref="N9:N23" si="0">SUM(M9:M9)</f>
        <v>0</v>
      </c>
      <c r="O9" s="835">
        <v>0</v>
      </c>
      <c r="P9" s="818">
        <f>Y6*F9*H9*K9*M9*O9</f>
        <v>0</v>
      </c>
      <c r="Q9" s="818">
        <f>P9/(1+Y5)</f>
        <v>0</v>
      </c>
      <c r="R9" s="180">
        <v>0</v>
      </c>
      <c r="S9" s="818">
        <v>0</v>
      </c>
      <c r="T9" s="136">
        <f>(Y4*R9+S9)*F9</f>
        <v>0</v>
      </c>
      <c r="U9" s="111">
        <v>0</v>
      </c>
      <c r="V9" s="155">
        <v>0</v>
      </c>
      <c r="W9" s="111">
        <v>0</v>
      </c>
      <c r="X9" s="412">
        <v>0</v>
      </c>
      <c r="Y9" s="412">
        <f t="shared" ref="Y9:Y23" si="1">SUM(Q9:Q9)+SUM(T9:T9)+SUM(X9:X9)</f>
        <v>0</v>
      </c>
      <c r="Z9" s="874"/>
      <c r="AA9" s="874"/>
    </row>
    <row r="10" spans="1:27" hidden="1" x14ac:dyDescent="0.3">
      <c r="A10" s="366"/>
      <c r="B10" s="469">
        <v>2</v>
      </c>
      <c r="C10" s="436" t="s">
        <v>1290</v>
      </c>
      <c r="D10" s="448" t="s">
        <v>1204</v>
      </c>
      <c r="E10" s="469" t="s">
        <v>144</v>
      </c>
      <c r="F10" s="51">
        <v>0</v>
      </c>
      <c r="G10" s="22" t="s">
        <v>387</v>
      </c>
      <c r="H10" s="886">
        <v>1</v>
      </c>
      <c r="I10" s="22"/>
      <c r="J10" s="51" t="s">
        <v>1040</v>
      </c>
      <c r="K10" s="857">
        <v>1</v>
      </c>
      <c r="L10" s="22" t="s">
        <v>73</v>
      </c>
      <c r="M10" s="51">
        <v>0</v>
      </c>
      <c r="N10" s="51">
        <f t="shared" si="0"/>
        <v>0</v>
      </c>
      <c r="O10" s="769">
        <v>0</v>
      </c>
      <c r="P10" s="745">
        <f>Y6*F10*H10*K10*M10*O10</f>
        <v>0</v>
      </c>
      <c r="Q10" s="745">
        <f>P10/(1+Y5)</f>
        <v>0</v>
      </c>
      <c r="R10" s="469">
        <v>0</v>
      </c>
      <c r="S10" s="745">
        <v>0</v>
      </c>
      <c r="T10" s="51">
        <f>(Y4*R10+S10)*F10</f>
        <v>0</v>
      </c>
      <c r="U10" s="22">
        <v>0</v>
      </c>
      <c r="V10" s="448">
        <v>0</v>
      </c>
      <c r="W10" s="22">
        <v>0</v>
      </c>
      <c r="X10" s="710">
        <v>0</v>
      </c>
      <c r="Y10" s="710">
        <f t="shared" si="1"/>
        <v>0</v>
      </c>
      <c r="Z10" s="874"/>
      <c r="AA10" s="874"/>
    </row>
    <row r="11" spans="1:27" hidden="1" x14ac:dyDescent="0.3">
      <c r="A11" s="366"/>
      <c r="B11" s="469">
        <v>2</v>
      </c>
      <c r="C11" s="436" t="s">
        <v>1290</v>
      </c>
      <c r="D11" s="448" t="s">
        <v>103</v>
      </c>
      <c r="E11" s="469" t="s">
        <v>144</v>
      </c>
      <c r="F11" s="51">
        <v>0</v>
      </c>
      <c r="G11" s="22" t="s">
        <v>387</v>
      </c>
      <c r="H11" s="886">
        <v>1</v>
      </c>
      <c r="I11" s="22"/>
      <c r="J11" s="51" t="s">
        <v>1040</v>
      </c>
      <c r="K11" s="857">
        <v>1</v>
      </c>
      <c r="L11" s="22" t="s">
        <v>73</v>
      </c>
      <c r="M11" s="51">
        <v>0</v>
      </c>
      <c r="N11" s="51">
        <f t="shared" si="0"/>
        <v>0</v>
      </c>
      <c r="O11" s="769">
        <v>0</v>
      </c>
      <c r="P11" s="745">
        <f>Y6*F11*H11*K11*M11*O11</f>
        <v>0</v>
      </c>
      <c r="Q11" s="745">
        <f>P11/(1+Y5)</f>
        <v>0</v>
      </c>
      <c r="R11" s="469">
        <v>0</v>
      </c>
      <c r="S11" s="745">
        <v>0</v>
      </c>
      <c r="T11" s="51">
        <f>(Y4*R11+S11)*F11</f>
        <v>0</v>
      </c>
      <c r="U11" s="22">
        <v>0</v>
      </c>
      <c r="V11" s="448">
        <v>0</v>
      </c>
      <c r="W11" s="22">
        <v>0</v>
      </c>
      <c r="X11" s="710">
        <v>0</v>
      </c>
      <c r="Y11" s="710">
        <f t="shared" si="1"/>
        <v>0</v>
      </c>
      <c r="Z11" s="874"/>
      <c r="AA11" s="874"/>
    </row>
    <row r="12" spans="1:27" hidden="1" x14ac:dyDescent="0.3">
      <c r="A12" s="366"/>
      <c r="B12" s="469">
        <v>4</v>
      </c>
      <c r="C12" s="436" t="s">
        <v>142</v>
      </c>
      <c r="D12" s="448" t="s">
        <v>1204</v>
      </c>
      <c r="E12" s="469" t="s">
        <v>144</v>
      </c>
      <c r="F12" s="51">
        <v>0</v>
      </c>
      <c r="G12" s="22" t="s">
        <v>387</v>
      </c>
      <c r="H12" s="886">
        <v>1</v>
      </c>
      <c r="I12" s="22"/>
      <c r="J12" s="51" t="s">
        <v>1040</v>
      </c>
      <c r="K12" s="857">
        <v>1</v>
      </c>
      <c r="L12" s="22" t="s">
        <v>73</v>
      </c>
      <c r="M12" s="51">
        <v>0</v>
      </c>
      <c r="N12" s="51">
        <f t="shared" si="0"/>
        <v>0</v>
      </c>
      <c r="O12" s="769">
        <v>0</v>
      </c>
      <c r="P12" s="745">
        <f>Y6*F12*H12*K12*M12*O12</f>
        <v>0</v>
      </c>
      <c r="Q12" s="745">
        <f>P12/(1+Y5)</f>
        <v>0</v>
      </c>
      <c r="R12" s="469">
        <v>0</v>
      </c>
      <c r="S12" s="745">
        <v>0</v>
      </c>
      <c r="T12" s="51">
        <f>(Y4*R12+S12)*F12</f>
        <v>0</v>
      </c>
      <c r="U12" s="22">
        <v>0</v>
      </c>
      <c r="V12" s="448">
        <v>0</v>
      </c>
      <c r="W12" s="22">
        <v>0</v>
      </c>
      <c r="X12" s="710">
        <v>0</v>
      </c>
      <c r="Y12" s="710">
        <f t="shared" si="1"/>
        <v>0</v>
      </c>
      <c r="Z12" s="874"/>
      <c r="AA12" s="874"/>
    </row>
    <row r="13" spans="1:27" hidden="1" x14ac:dyDescent="0.3">
      <c r="A13" s="366"/>
      <c r="B13" s="469">
        <v>5</v>
      </c>
      <c r="C13" s="436" t="s">
        <v>95</v>
      </c>
      <c r="D13" s="448" t="s">
        <v>630</v>
      </c>
      <c r="E13" s="469" t="s">
        <v>144</v>
      </c>
      <c r="F13" s="51">
        <v>1.45</v>
      </c>
      <c r="G13" s="22" t="s">
        <v>387</v>
      </c>
      <c r="H13" s="886">
        <v>1</v>
      </c>
      <c r="I13" s="22"/>
      <c r="J13" s="51" t="s">
        <v>1040</v>
      </c>
      <c r="K13" s="857">
        <v>1</v>
      </c>
      <c r="L13" s="22" t="s">
        <v>73</v>
      </c>
      <c r="M13" s="51">
        <v>0</v>
      </c>
      <c r="N13" s="51">
        <f t="shared" si="0"/>
        <v>0</v>
      </c>
      <c r="O13" s="769">
        <v>0</v>
      </c>
      <c r="P13" s="745">
        <f>Y6*F13*H13*K13*M13*O13</f>
        <v>0</v>
      </c>
      <c r="Q13" s="745">
        <f>P13/(1+Y5)</f>
        <v>0</v>
      </c>
      <c r="R13" s="469">
        <v>0</v>
      </c>
      <c r="S13" s="745">
        <v>0</v>
      </c>
      <c r="T13" s="51">
        <f>(Y4*R13+S13)*F13</f>
        <v>0</v>
      </c>
      <c r="U13" s="22">
        <v>0</v>
      </c>
      <c r="V13" s="448">
        <v>0</v>
      </c>
      <c r="W13" s="22">
        <v>0</v>
      </c>
      <c r="X13" s="710">
        <v>0</v>
      </c>
      <c r="Y13" s="710">
        <f t="shared" si="1"/>
        <v>0</v>
      </c>
      <c r="Z13" s="874"/>
      <c r="AA13" s="874"/>
    </row>
    <row r="14" spans="1:27" hidden="1" x14ac:dyDescent="0.3">
      <c r="A14" s="366"/>
      <c r="B14" s="469">
        <v>6</v>
      </c>
      <c r="C14" s="436" t="s">
        <v>193</v>
      </c>
      <c r="D14" s="448" t="s">
        <v>759</v>
      </c>
      <c r="E14" s="469" t="s">
        <v>144</v>
      </c>
      <c r="F14" s="51">
        <v>1.5</v>
      </c>
      <c r="G14" s="22" t="s">
        <v>387</v>
      </c>
      <c r="H14" s="886">
        <v>1</v>
      </c>
      <c r="I14" s="22"/>
      <c r="J14" s="51" t="s">
        <v>1040</v>
      </c>
      <c r="K14" s="857">
        <v>1</v>
      </c>
      <c r="L14" s="22" t="s">
        <v>73</v>
      </c>
      <c r="M14" s="51">
        <v>0</v>
      </c>
      <c r="N14" s="51">
        <f t="shared" si="0"/>
        <v>0</v>
      </c>
      <c r="O14" s="769">
        <v>0</v>
      </c>
      <c r="P14" s="745">
        <f>Y6*F14*H14*K14*M14*O14</f>
        <v>0</v>
      </c>
      <c r="Q14" s="745">
        <f>P14/(1+Y5)</f>
        <v>0</v>
      </c>
      <c r="R14" s="469">
        <v>0</v>
      </c>
      <c r="S14" s="745">
        <v>0</v>
      </c>
      <c r="T14" s="51">
        <f>(Y4*R14+S14)*F14</f>
        <v>0</v>
      </c>
      <c r="U14" s="22">
        <v>0</v>
      </c>
      <c r="V14" s="448">
        <v>0</v>
      </c>
      <c r="W14" s="22">
        <v>0</v>
      </c>
      <c r="X14" s="710">
        <v>0</v>
      </c>
      <c r="Y14" s="710">
        <f t="shared" si="1"/>
        <v>0</v>
      </c>
      <c r="Z14" s="874"/>
      <c r="AA14" s="874"/>
    </row>
    <row r="15" spans="1:27" hidden="1" x14ac:dyDescent="0.3">
      <c r="A15" s="366"/>
      <c r="B15" s="469">
        <v>7</v>
      </c>
      <c r="C15" s="436" t="s">
        <v>1285</v>
      </c>
      <c r="D15" s="448" t="s">
        <v>730</v>
      </c>
      <c r="E15" s="469" t="s">
        <v>1258</v>
      </c>
      <c r="F15" s="51">
        <v>0</v>
      </c>
      <c r="G15" s="22" t="s">
        <v>741</v>
      </c>
      <c r="H15" s="886">
        <v>1.3</v>
      </c>
      <c r="I15" s="22"/>
      <c r="J15" s="51" t="s">
        <v>1040</v>
      </c>
      <c r="K15" s="857">
        <v>1</v>
      </c>
      <c r="L15" s="22" t="s">
        <v>73</v>
      </c>
      <c r="M15" s="51">
        <v>0</v>
      </c>
      <c r="N15" s="51">
        <f t="shared" si="0"/>
        <v>0</v>
      </c>
      <c r="O15" s="769">
        <v>0</v>
      </c>
      <c r="P15" s="745">
        <f>Y6*F15*H15*K15*M15*O15</f>
        <v>0</v>
      </c>
      <c r="Q15" s="745">
        <f>P15/(1+Y5)</f>
        <v>0</v>
      </c>
      <c r="R15" s="469">
        <v>0</v>
      </c>
      <c r="S15" s="745">
        <v>0</v>
      </c>
      <c r="T15" s="51">
        <f>(Y4*R15+S15)*F15</f>
        <v>0</v>
      </c>
      <c r="U15" s="22">
        <v>0</v>
      </c>
      <c r="V15" s="448">
        <v>0</v>
      </c>
      <c r="W15" s="22">
        <v>0</v>
      </c>
      <c r="X15" s="710">
        <v>0</v>
      </c>
      <c r="Y15" s="710">
        <f t="shared" si="1"/>
        <v>0</v>
      </c>
      <c r="Z15" s="874"/>
      <c r="AA15" s="874"/>
    </row>
    <row r="16" spans="1:27" hidden="1" x14ac:dyDescent="0.3">
      <c r="A16" s="366"/>
      <c r="B16" s="469">
        <v>8</v>
      </c>
      <c r="C16" s="436" t="s">
        <v>491</v>
      </c>
      <c r="D16" s="448" t="s">
        <v>157</v>
      </c>
      <c r="E16" s="469" t="s">
        <v>144</v>
      </c>
      <c r="F16" s="51">
        <v>0.77</v>
      </c>
      <c r="G16" s="22" t="s">
        <v>387</v>
      </c>
      <c r="H16" s="886">
        <v>1</v>
      </c>
      <c r="I16" s="22"/>
      <c r="J16" s="51" t="s">
        <v>1040</v>
      </c>
      <c r="K16" s="857">
        <v>1</v>
      </c>
      <c r="L16" s="22" t="s">
        <v>73</v>
      </c>
      <c r="M16" s="51">
        <v>0</v>
      </c>
      <c r="N16" s="51">
        <f t="shared" si="0"/>
        <v>0</v>
      </c>
      <c r="O16" s="769">
        <v>0</v>
      </c>
      <c r="P16" s="745">
        <f>Y6*F16*H16*K16*M16*O16</f>
        <v>0</v>
      </c>
      <c r="Q16" s="745">
        <f>P16/(1+Y5)</f>
        <v>0</v>
      </c>
      <c r="R16" s="469">
        <v>0</v>
      </c>
      <c r="S16" s="745">
        <v>0</v>
      </c>
      <c r="T16" s="51">
        <f>(Y4*R16+S16)*F16</f>
        <v>0</v>
      </c>
      <c r="U16" s="22">
        <v>0</v>
      </c>
      <c r="V16" s="448">
        <v>0</v>
      </c>
      <c r="W16" s="22">
        <v>0</v>
      </c>
      <c r="X16" s="710">
        <v>0</v>
      </c>
      <c r="Y16" s="710">
        <f t="shared" si="1"/>
        <v>0</v>
      </c>
      <c r="Z16" s="874"/>
      <c r="AA16" s="874"/>
    </row>
    <row r="17" spans="1:27" hidden="1" x14ac:dyDescent="0.3">
      <c r="A17" s="366"/>
      <c r="B17" s="469">
        <v>9</v>
      </c>
      <c r="C17" s="436" t="s">
        <v>496</v>
      </c>
      <c r="D17" s="448" t="s">
        <v>309</v>
      </c>
      <c r="E17" s="469" t="s">
        <v>418</v>
      </c>
      <c r="F17" s="51">
        <v>0</v>
      </c>
      <c r="G17" s="22" t="s">
        <v>387</v>
      </c>
      <c r="H17" s="886">
        <v>1</v>
      </c>
      <c r="I17" s="22"/>
      <c r="J17" s="51" t="s">
        <v>1040</v>
      </c>
      <c r="K17" s="857">
        <v>1</v>
      </c>
      <c r="L17" s="22" t="s">
        <v>73</v>
      </c>
      <c r="M17" s="51">
        <v>0</v>
      </c>
      <c r="N17" s="51">
        <f t="shared" si="0"/>
        <v>0</v>
      </c>
      <c r="O17" s="769">
        <v>0</v>
      </c>
      <c r="P17" s="745">
        <f>Y6*F17*H17*K17*M17*O17</f>
        <v>0</v>
      </c>
      <c r="Q17" s="745">
        <f>P17/(1+Y5)</f>
        <v>0</v>
      </c>
      <c r="R17" s="469">
        <v>0</v>
      </c>
      <c r="S17" s="745">
        <v>0</v>
      </c>
      <c r="T17" s="51">
        <f>(Y4*R17+S17)*F17</f>
        <v>0</v>
      </c>
      <c r="U17" s="22">
        <v>0</v>
      </c>
      <c r="V17" s="448">
        <v>0</v>
      </c>
      <c r="W17" s="22">
        <v>0</v>
      </c>
      <c r="X17" s="710">
        <v>0</v>
      </c>
      <c r="Y17" s="710">
        <f t="shared" si="1"/>
        <v>0</v>
      </c>
      <c r="Z17" s="874"/>
      <c r="AA17" s="874"/>
    </row>
    <row r="18" spans="1:27" hidden="1" x14ac:dyDescent="0.3">
      <c r="A18" s="366"/>
      <c r="B18" s="469">
        <v>10</v>
      </c>
      <c r="C18" s="436" t="s">
        <v>138</v>
      </c>
      <c r="D18" s="448" t="s">
        <v>11</v>
      </c>
      <c r="E18" s="469" t="s">
        <v>460</v>
      </c>
      <c r="F18" s="51">
        <v>1E-3</v>
      </c>
      <c r="G18" s="22" t="s">
        <v>741</v>
      </c>
      <c r="H18" s="886">
        <v>1.3</v>
      </c>
      <c r="I18" s="22"/>
      <c r="J18" s="51" t="s">
        <v>1040</v>
      </c>
      <c r="K18" s="857">
        <v>1</v>
      </c>
      <c r="L18" s="22" t="s">
        <v>73</v>
      </c>
      <c r="M18" s="51">
        <v>0</v>
      </c>
      <c r="N18" s="51">
        <f t="shared" si="0"/>
        <v>0</v>
      </c>
      <c r="O18" s="769">
        <v>0</v>
      </c>
      <c r="P18" s="745">
        <f>Y6*F18*H18*K18*M18*O18</f>
        <v>0</v>
      </c>
      <c r="Q18" s="745">
        <f>P18/(1+Y5)</f>
        <v>0</v>
      </c>
      <c r="R18" s="469">
        <v>0</v>
      </c>
      <c r="S18" s="745">
        <v>0</v>
      </c>
      <c r="T18" s="51">
        <f>(Y4*R18+S18)*F18</f>
        <v>0</v>
      </c>
      <c r="U18" s="22">
        <v>0</v>
      </c>
      <c r="V18" s="448">
        <v>0</v>
      </c>
      <c r="W18" s="22">
        <v>0</v>
      </c>
      <c r="X18" s="710">
        <v>0</v>
      </c>
      <c r="Y18" s="710">
        <f t="shared" si="1"/>
        <v>0</v>
      </c>
      <c r="Z18" s="874"/>
      <c r="AA18" s="874"/>
    </row>
    <row r="19" spans="1:27" hidden="1" x14ac:dyDescent="0.3">
      <c r="A19" s="366"/>
      <c r="B19" s="469">
        <v>11</v>
      </c>
      <c r="C19" s="436" t="s">
        <v>135</v>
      </c>
      <c r="D19" s="448" t="s">
        <v>938</v>
      </c>
      <c r="E19" s="469" t="s">
        <v>1431</v>
      </c>
      <c r="F19" s="51">
        <v>0</v>
      </c>
      <c r="G19" s="22" t="s">
        <v>387</v>
      </c>
      <c r="H19" s="886">
        <v>1</v>
      </c>
      <c r="I19" s="22"/>
      <c r="J19" s="51" t="s">
        <v>1040</v>
      </c>
      <c r="K19" s="857">
        <v>1</v>
      </c>
      <c r="L19" s="22" t="s">
        <v>73</v>
      </c>
      <c r="M19" s="51"/>
      <c r="N19" s="51">
        <f t="shared" si="0"/>
        <v>0</v>
      </c>
      <c r="O19" s="769">
        <v>0</v>
      </c>
      <c r="P19" s="745">
        <f>Y6*F19*H19*K19*M19*O19</f>
        <v>0</v>
      </c>
      <c r="Q19" s="745">
        <f>P19/(1+Y5)</f>
        <v>0</v>
      </c>
      <c r="R19" s="469">
        <v>0</v>
      </c>
      <c r="S19" s="745">
        <v>0</v>
      </c>
      <c r="T19" s="51">
        <f>(Y4*R19+S19)*F19</f>
        <v>0</v>
      </c>
      <c r="U19" s="22">
        <v>0</v>
      </c>
      <c r="V19" s="448">
        <v>0</v>
      </c>
      <c r="W19" s="22">
        <v>0</v>
      </c>
      <c r="X19" s="710">
        <v>0</v>
      </c>
      <c r="Y19" s="710">
        <f t="shared" si="1"/>
        <v>0</v>
      </c>
      <c r="Z19" s="874"/>
      <c r="AA19" s="874"/>
    </row>
    <row r="20" spans="1:27" hidden="1" x14ac:dyDescent="0.3">
      <c r="A20" s="366"/>
      <c r="B20" s="469">
        <v>12</v>
      </c>
      <c r="C20" s="436" t="s">
        <v>444</v>
      </c>
      <c r="D20" s="448" t="s">
        <v>938</v>
      </c>
      <c r="E20" s="469" t="s">
        <v>144</v>
      </c>
      <c r="F20" s="51">
        <v>0</v>
      </c>
      <c r="G20" s="22" t="s">
        <v>387</v>
      </c>
      <c r="H20" s="886">
        <v>1</v>
      </c>
      <c r="I20" s="22"/>
      <c r="J20" s="51" t="s">
        <v>1040</v>
      </c>
      <c r="K20" s="857">
        <v>1</v>
      </c>
      <c r="L20" s="22" t="s">
        <v>73</v>
      </c>
      <c r="M20" s="51">
        <v>0</v>
      </c>
      <c r="N20" s="51">
        <f t="shared" si="0"/>
        <v>0</v>
      </c>
      <c r="O20" s="769">
        <v>0</v>
      </c>
      <c r="P20" s="745">
        <f>Y6*F20*H20*K20*M20*O20</f>
        <v>0</v>
      </c>
      <c r="Q20" s="745">
        <f>P20/(1+Y5)</f>
        <v>0</v>
      </c>
      <c r="R20" s="469">
        <v>0</v>
      </c>
      <c r="S20" s="745">
        <v>0</v>
      </c>
      <c r="T20" s="51">
        <f>(Y4*R20+S20)*F20</f>
        <v>0</v>
      </c>
      <c r="U20" s="22">
        <v>0</v>
      </c>
      <c r="V20" s="448">
        <v>0</v>
      </c>
      <c r="W20" s="22">
        <v>0</v>
      </c>
      <c r="X20" s="710">
        <v>0</v>
      </c>
      <c r="Y20" s="710">
        <f t="shared" si="1"/>
        <v>0</v>
      </c>
      <c r="Z20" s="874"/>
      <c r="AA20" s="874"/>
    </row>
    <row r="21" spans="1:27" hidden="1" x14ac:dyDescent="0.3">
      <c r="A21" s="366"/>
      <c r="B21" s="469">
        <v>13</v>
      </c>
      <c r="C21" s="436" t="s">
        <v>218</v>
      </c>
      <c r="D21" s="448" t="s">
        <v>1165</v>
      </c>
      <c r="E21" s="469" t="s">
        <v>460</v>
      </c>
      <c r="F21" s="51">
        <v>1E-3</v>
      </c>
      <c r="G21" s="22" t="s">
        <v>365</v>
      </c>
      <c r="H21" s="886">
        <v>1.1000000000000001</v>
      </c>
      <c r="I21" s="22"/>
      <c r="J21" s="51" t="s">
        <v>1040</v>
      </c>
      <c r="K21" s="857">
        <v>1</v>
      </c>
      <c r="L21" s="22" t="s">
        <v>73</v>
      </c>
      <c r="M21" s="51">
        <v>0</v>
      </c>
      <c r="N21" s="51">
        <f t="shared" si="0"/>
        <v>0</v>
      </c>
      <c r="O21" s="769">
        <v>0</v>
      </c>
      <c r="P21" s="745">
        <f>Y6*F21*H21*K21*M21*O21</f>
        <v>0</v>
      </c>
      <c r="Q21" s="745">
        <f>P21/(1+Y5)</f>
        <v>0</v>
      </c>
      <c r="R21" s="469">
        <v>0</v>
      </c>
      <c r="S21" s="745">
        <v>0</v>
      </c>
      <c r="T21" s="51">
        <f>(Y4*R21+S21)*F21</f>
        <v>0</v>
      </c>
      <c r="U21" s="22">
        <v>0</v>
      </c>
      <c r="V21" s="448">
        <v>0</v>
      </c>
      <c r="W21" s="22">
        <v>0</v>
      </c>
      <c r="X21" s="710">
        <v>0</v>
      </c>
      <c r="Y21" s="710">
        <f t="shared" si="1"/>
        <v>0</v>
      </c>
      <c r="Z21" s="874"/>
      <c r="AA21" s="874"/>
    </row>
    <row r="22" spans="1:27" hidden="1" x14ac:dyDescent="0.3">
      <c r="A22" s="366"/>
      <c r="B22" s="469">
        <v>14</v>
      </c>
      <c r="C22" s="436" t="s">
        <v>379</v>
      </c>
      <c r="D22" s="448" t="s">
        <v>209</v>
      </c>
      <c r="E22" s="469" t="s">
        <v>460</v>
      </c>
      <c r="F22" s="51">
        <v>1E-3</v>
      </c>
      <c r="G22" s="22" t="s">
        <v>365</v>
      </c>
      <c r="H22" s="886">
        <v>1.1000000000000001</v>
      </c>
      <c r="I22" s="22"/>
      <c r="J22" s="51" t="s">
        <v>1040</v>
      </c>
      <c r="K22" s="857">
        <v>1</v>
      </c>
      <c r="L22" s="22" t="s">
        <v>73</v>
      </c>
      <c r="M22" s="51">
        <v>0</v>
      </c>
      <c r="N22" s="51">
        <f t="shared" si="0"/>
        <v>0</v>
      </c>
      <c r="O22" s="769">
        <v>0</v>
      </c>
      <c r="P22" s="745">
        <f>Y6*F22*H22*K22*M22*O22</f>
        <v>0</v>
      </c>
      <c r="Q22" s="745">
        <f>P22/(1+Y5)</f>
        <v>0</v>
      </c>
      <c r="R22" s="469">
        <v>0</v>
      </c>
      <c r="S22" s="745">
        <v>0</v>
      </c>
      <c r="T22" s="51">
        <f>(Y4*R22+S22)*F22</f>
        <v>0</v>
      </c>
      <c r="U22" s="22">
        <v>0</v>
      </c>
      <c r="V22" s="448">
        <v>0</v>
      </c>
      <c r="W22" s="22">
        <v>0</v>
      </c>
      <c r="X22" s="710">
        <v>0</v>
      </c>
      <c r="Y22" s="710">
        <f t="shared" si="1"/>
        <v>0</v>
      </c>
      <c r="Z22" s="874"/>
      <c r="AA22" s="874"/>
    </row>
    <row r="23" spans="1:27" hidden="1" x14ac:dyDescent="0.3">
      <c r="A23" s="899"/>
      <c r="B23" s="113">
        <v>3</v>
      </c>
      <c r="C23" s="456" t="s">
        <v>762</v>
      </c>
      <c r="D23" s="82" t="s">
        <v>1191</v>
      </c>
      <c r="E23" s="113" t="s">
        <v>460</v>
      </c>
      <c r="F23" s="68">
        <v>1E-3</v>
      </c>
      <c r="G23" s="49" t="s">
        <v>741</v>
      </c>
      <c r="H23" s="543">
        <v>1</v>
      </c>
      <c r="I23" s="49"/>
      <c r="J23" s="68" t="s">
        <v>1040</v>
      </c>
      <c r="K23" s="521">
        <v>1</v>
      </c>
      <c r="L23" s="49" t="s">
        <v>73</v>
      </c>
      <c r="M23" s="68">
        <v>0</v>
      </c>
      <c r="N23" s="68">
        <f t="shared" si="0"/>
        <v>0</v>
      </c>
      <c r="O23" s="783">
        <v>0</v>
      </c>
      <c r="P23" s="767">
        <f>Y6*F23*H23*K23*M23*O23</f>
        <v>0</v>
      </c>
      <c r="Q23" s="767">
        <f>P23/(1+Y5)</f>
        <v>0</v>
      </c>
      <c r="R23" s="113">
        <v>0</v>
      </c>
      <c r="S23" s="767">
        <v>0</v>
      </c>
      <c r="T23" s="68">
        <f>(Y4*R23+S23)*F23</f>
        <v>0</v>
      </c>
      <c r="U23" s="49">
        <v>0</v>
      </c>
      <c r="V23" s="82">
        <v>0</v>
      </c>
      <c r="W23" s="49">
        <v>0</v>
      </c>
      <c r="X23" s="356">
        <v>0</v>
      </c>
      <c r="Y23" s="356">
        <f t="shared" si="1"/>
        <v>0</v>
      </c>
      <c r="Z23" s="874"/>
      <c r="AA23" s="874"/>
    </row>
    <row r="24" spans="1:27" x14ac:dyDescent="0.3">
      <c r="B24" s="874"/>
      <c r="C24" s="874"/>
      <c r="D24" s="874"/>
      <c r="E24" s="874"/>
      <c r="F24" s="874"/>
      <c r="G24" s="874"/>
      <c r="H24" s="874"/>
      <c r="I24" s="874"/>
      <c r="J24" s="874"/>
      <c r="K24" s="874"/>
      <c r="L24" s="874"/>
      <c r="M24" s="874"/>
      <c r="N24" s="874"/>
      <c r="O24" s="874"/>
      <c r="P24" s="874"/>
      <c r="Q24" s="874"/>
      <c r="R24" s="874"/>
      <c r="S24" s="874"/>
      <c r="T24" s="874"/>
      <c r="U24" s="874"/>
      <c r="V24" s="874"/>
      <c r="W24" s="874"/>
      <c r="X24" s="874"/>
      <c r="Y24" s="874"/>
      <c r="Z24" s="874"/>
      <c r="AA24" s="874"/>
    </row>
    <row r="25" spans="1:27" x14ac:dyDescent="0.3">
      <c r="B25" s="874"/>
      <c r="C25" s="874"/>
      <c r="D25" s="874"/>
      <c r="E25" s="874"/>
      <c r="F25" s="874"/>
      <c r="G25" s="874"/>
      <c r="H25" s="874"/>
      <c r="I25" s="874"/>
      <c r="J25" s="874"/>
      <c r="K25" s="874"/>
      <c r="L25" s="874"/>
      <c r="M25" s="874"/>
      <c r="N25" s="874"/>
      <c r="O25" s="874"/>
      <c r="P25" s="874"/>
      <c r="Q25" s="874"/>
      <c r="R25" s="874"/>
      <c r="S25" s="874"/>
      <c r="T25" s="874"/>
      <c r="U25" s="874"/>
      <c r="V25" s="874"/>
      <c r="W25" s="874"/>
      <c r="X25" s="874"/>
      <c r="Y25" s="874"/>
      <c r="Z25" s="874"/>
      <c r="AA25" s="874"/>
    </row>
    <row r="26" spans="1:27" x14ac:dyDescent="0.3">
      <c r="B26" s="874"/>
      <c r="C26" s="874"/>
      <c r="D26" s="874"/>
      <c r="E26" s="874"/>
      <c r="F26" s="874"/>
      <c r="G26" s="874"/>
      <c r="H26" s="874"/>
      <c r="I26" s="874"/>
      <c r="J26" s="874"/>
      <c r="K26" s="874"/>
      <c r="L26" s="874"/>
      <c r="M26" s="874"/>
      <c r="N26" s="874"/>
      <c r="O26" s="874"/>
      <c r="P26" s="874"/>
      <c r="Q26" s="874"/>
      <c r="R26" s="874"/>
      <c r="S26" s="874"/>
      <c r="T26" s="874"/>
      <c r="U26" s="874"/>
      <c r="V26" s="874"/>
      <c r="W26" s="874"/>
      <c r="X26" s="874"/>
      <c r="Y26" s="874"/>
      <c r="Z26" s="874"/>
      <c r="AA26" s="874"/>
    </row>
  </sheetData>
  <mergeCells count="20">
    <mergeCell ref="V7:W7"/>
    <mergeCell ref="X7:X8"/>
    <mergeCell ref="Y7:Y8"/>
    <mergeCell ref="A1:V1"/>
    <mergeCell ref="A2:V2"/>
    <mergeCell ref="A3:V3"/>
    <mergeCell ref="A7:A8"/>
    <mergeCell ref="B7:B8"/>
    <mergeCell ref="C7:C8"/>
    <mergeCell ref="D7:D8"/>
    <mergeCell ref="E7:E8"/>
    <mergeCell ref="F7:F8"/>
    <mergeCell ref="G7:G8"/>
    <mergeCell ref="H7:H8"/>
    <mergeCell ref="I7:I8"/>
    <mergeCell ref="J7:K7"/>
    <mergeCell ref="L7:N7"/>
    <mergeCell ref="O7:Q7"/>
    <mergeCell ref="R7:T7"/>
    <mergeCell ref="U7:U8"/>
  </mergeCells>
  <conditionalFormatting sqref="K9:K23">
    <cfRule type="cellIs" dxfId="11" priority="1" stopIfTrue="1" operator="equal">
      <formula>0</formula>
    </cfRule>
  </conditionalFormatting>
  <conditionalFormatting sqref="M9:M23">
    <cfRule type="cellIs" dxfId="10" priority="2" stopIfTrue="1" operator="equal">
      <formula>0</formula>
    </cfRule>
  </conditionalFormatting>
  <pageMargins left="0.75" right="0.75" top="0.79" bottom="0.79" header="0.3" footer="0.3"/>
  <pageSetup paperSize="9" scale="80" orientation="landscape" useFirstPageNumber="1" horizontalDpi="65532"/>
  <headerFooter>
    <oddFooter>&amp;CTrang &amp;P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H200"/>
  <sheetViews>
    <sheetView showZeros="0" workbookViewId="0">
      <selection sqref="A1:T1"/>
    </sheetView>
  </sheetViews>
  <sheetFormatPr defaultRowHeight="15" x14ac:dyDescent="0.25"/>
  <cols>
    <col min="1" max="1" width="4.7109375" customWidth="1"/>
    <col min="2" max="2" width="40.7109375" customWidth="1"/>
    <col min="3" max="3" width="7.7109375" customWidth="1"/>
    <col min="4" max="4" width="23.28515625" customWidth="1"/>
    <col min="5" max="5" width="10.85546875" customWidth="1"/>
    <col min="6" max="6" width="10.140625" customWidth="1"/>
    <col min="7" max="8" width="9.42578125" customWidth="1"/>
  </cols>
  <sheetData>
    <row r="1" spans="1:8" ht="19.899999999999999" customHeight="1" x14ac:dyDescent="0.25">
      <c r="A1" s="1268" t="s">
        <v>900</v>
      </c>
      <c r="B1" s="1268"/>
      <c r="C1" s="1268"/>
      <c r="D1" s="1268"/>
      <c r="E1" s="1268"/>
      <c r="F1" s="1268"/>
      <c r="G1" s="827"/>
      <c r="H1" s="827"/>
    </row>
    <row r="2" spans="1:8" ht="17.649999999999999" customHeight="1" x14ac:dyDescent="0.25">
      <c r="A2" s="1265" t="s">
        <v>1362</v>
      </c>
      <c r="B2" s="1265"/>
      <c r="C2" s="1265"/>
      <c r="D2" s="1265"/>
      <c r="E2" s="1265"/>
      <c r="F2" s="1265"/>
      <c r="G2" s="827"/>
      <c r="H2" s="827"/>
    </row>
    <row r="3" spans="1:8" ht="15" customHeight="1" x14ac:dyDescent="0.25">
      <c r="A3" s="892"/>
      <c r="B3" s="827"/>
      <c r="C3" s="892"/>
      <c r="D3" s="892"/>
      <c r="E3" s="827"/>
      <c r="F3" s="827"/>
      <c r="G3" s="827"/>
      <c r="H3" s="827"/>
    </row>
    <row r="4" spans="1:8" ht="15" customHeight="1" x14ac:dyDescent="0.25">
      <c r="A4" s="561" t="s">
        <v>1323</v>
      </c>
      <c r="B4" s="561" t="s">
        <v>217</v>
      </c>
      <c r="C4" s="561" t="s">
        <v>941</v>
      </c>
      <c r="D4" s="561" t="s">
        <v>426</v>
      </c>
      <c r="E4" s="561" t="s">
        <v>823</v>
      </c>
      <c r="F4" s="561" t="s">
        <v>1278</v>
      </c>
      <c r="G4" s="827"/>
      <c r="H4" s="827"/>
    </row>
    <row r="5" spans="1:8" ht="15" customHeight="1" x14ac:dyDescent="0.25">
      <c r="A5" s="588" t="s">
        <v>915</v>
      </c>
      <c r="B5" s="94" t="s">
        <v>1009</v>
      </c>
      <c r="C5" s="588"/>
      <c r="D5" s="588"/>
      <c r="E5" s="514"/>
      <c r="F5" s="514"/>
      <c r="G5" s="827"/>
      <c r="H5" s="827"/>
    </row>
    <row r="6" spans="1:8" ht="15" customHeight="1" x14ac:dyDescent="0.25">
      <c r="A6" s="545">
        <v>1</v>
      </c>
      <c r="B6" s="64" t="s">
        <v>366</v>
      </c>
      <c r="C6" s="545" t="s">
        <v>1329</v>
      </c>
      <c r="D6" s="545" t="s">
        <v>150</v>
      </c>
      <c r="E6" s="713"/>
      <c r="F6" s="477" t="s">
        <v>1086</v>
      </c>
      <c r="G6" s="827"/>
      <c r="H6" s="827"/>
    </row>
    <row r="7" spans="1:8" ht="15" customHeight="1" x14ac:dyDescent="0.25">
      <c r="A7" s="458">
        <v>2</v>
      </c>
      <c r="B7" s="885" t="s">
        <v>742</v>
      </c>
      <c r="C7" s="458" t="s">
        <v>237</v>
      </c>
      <c r="D7" s="458" t="s">
        <v>150</v>
      </c>
      <c r="E7" s="641"/>
      <c r="F7" s="396" t="s">
        <v>1086</v>
      </c>
      <c r="G7" s="827"/>
      <c r="H7" s="827"/>
    </row>
    <row r="8" spans="1:8" ht="15" customHeight="1" x14ac:dyDescent="0.25">
      <c r="A8" s="480">
        <v>3</v>
      </c>
      <c r="B8" s="911" t="s">
        <v>1168</v>
      </c>
      <c r="C8" s="480" t="s">
        <v>598</v>
      </c>
      <c r="D8" s="480" t="s">
        <v>150</v>
      </c>
      <c r="E8" s="660"/>
      <c r="F8" s="419" t="s">
        <v>1086</v>
      </c>
      <c r="G8" s="827"/>
      <c r="H8" s="827"/>
    </row>
    <row r="9" spans="1:8" ht="28.15" customHeight="1" x14ac:dyDescent="0.25">
      <c r="A9" s="588" t="s">
        <v>587</v>
      </c>
      <c r="B9" s="94" t="s">
        <v>42</v>
      </c>
      <c r="C9" s="588"/>
      <c r="D9" s="588"/>
      <c r="E9" s="514"/>
      <c r="F9" s="514"/>
      <c r="G9" s="827"/>
      <c r="H9" s="827"/>
    </row>
    <row r="10" spans="1:8" ht="15" customHeight="1" x14ac:dyDescent="0.25">
      <c r="A10" s="545">
        <v>1</v>
      </c>
      <c r="B10" s="64" t="s">
        <v>151</v>
      </c>
      <c r="C10" s="545" t="s">
        <v>1356</v>
      </c>
      <c r="D10" s="545" t="s">
        <v>1202</v>
      </c>
      <c r="E10" s="477" t="e">
        <f t="shared" ref="E10:E11" si="0">ROUND(E7/E6,6)</f>
        <v>#DIV/0!</v>
      </c>
      <c r="F10" s="329" t="e">
        <f t="shared" ref="F10:F12" si="1">E10-1</f>
        <v>#DIV/0!</v>
      </c>
      <c r="G10" s="827"/>
      <c r="H10" s="827"/>
    </row>
    <row r="11" spans="1:8" ht="15" customHeight="1" x14ac:dyDescent="0.25">
      <c r="A11" s="480">
        <v>2</v>
      </c>
      <c r="B11" s="911" t="s">
        <v>739</v>
      </c>
      <c r="C11" s="480" t="s">
        <v>1326</v>
      </c>
      <c r="D11" s="480" t="s">
        <v>527</v>
      </c>
      <c r="E11" s="419" t="e">
        <f t="shared" si="0"/>
        <v>#DIV/0!</v>
      </c>
      <c r="F11" s="789" t="e">
        <f t="shared" si="1"/>
        <v>#DIV/0!</v>
      </c>
      <c r="G11" s="827"/>
      <c r="H11" s="827"/>
    </row>
    <row r="12" spans="1:8" ht="15" customHeight="1" x14ac:dyDescent="0.25">
      <c r="A12" s="588" t="s">
        <v>1219</v>
      </c>
      <c r="B12" s="94" t="s">
        <v>810</v>
      </c>
      <c r="C12" s="588" t="s">
        <v>673</v>
      </c>
      <c r="D12" s="588" t="s">
        <v>1178</v>
      </c>
      <c r="E12" s="514">
        <f>IF(ISERR(E10+E11), 0, ROUND((E10+E11)/2,6))</f>
        <v>0</v>
      </c>
      <c r="F12" s="365">
        <f t="shared" si="1"/>
        <v>-1</v>
      </c>
      <c r="G12" s="827"/>
      <c r="H12" s="827"/>
    </row>
    <row r="13" spans="1:8" ht="15" customHeight="1" x14ac:dyDescent="0.25">
      <c r="A13" s="588" t="s">
        <v>1070</v>
      </c>
      <c r="B13" s="94" t="s">
        <v>1406</v>
      </c>
      <c r="C13" s="588"/>
      <c r="D13" s="588"/>
      <c r="E13" s="514"/>
      <c r="F13" s="514"/>
      <c r="G13" s="827"/>
      <c r="H13" s="827"/>
    </row>
    <row r="14" spans="1:8" ht="15" customHeight="1" x14ac:dyDescent="0.25">
      <c r="A14" s="545">
        <v>1</v>
      </c>
      <c r="B14" s="64" t="s">
        <v>1148</v>
      </c>
      <c r="C14" s="545" t="s">
        <v>555</v>
      </c>
      <c r="D14" s="545" t="s">
        <v>482</v>
      </c>
      <c r="E14" s="477">
        <f>ROUND(E12^1,6)</f>
        <v>0</v>
      </c>
      <c r="F14" s="477"/>
      <c r="G14" s="827"/>
      <c r="H14" s="827"/>
    </row>
    <row r="15" spans="1:8" ht="15" customHeight="1" x14ac:dyDescent="0.25">
      <c r="A15" s="480">
        <v>2</v>
      </c>
      <c r="B15" s="911" t="s">
        <v>1453</v>
      </c>
      <c r="C15" s="480" t="s">
        <v>967</v>
      </c>
      <c r="D15" s="480" t="s">
        <v>894</v>
      </c>
      <c r="E15" s="419">
        <f>ROUND(E12^2,6)</f>
        <v>0</v>
      </c>
      <c r="F15" s="419"/>
      <c r="G15" s="827"/>
      <c r="H15" s="827"/>
    </row>
    <row r="16" spans="1:8" ht="15" customHeight="1" x14ac:dyDescent="0.25">
      <c r="A16" s="588" t="s">
        <v>250</v>
      </c>
      <c r="B16" s="94" t="s">
        <v>136</v>
      </c>
      <c r="C16" s="588" t="s">
        <v>1262</v>
      </c>
      <c r="D16" s="588"/>
      <c r="E16" s="807">
        <v>23100000</v>
      </c>
      <c r="F16" s="144">
        <f>SUM(F17:F18)</f>
        <v>0</v>
      </c>
      <c r="G16" s="827"/>
      <c r="H16" s="827"/>
    </row>
    <row r="17" spans="1:8" ht="15" customHeight="1" x14ac:dyDescent="0.25">
      <c r="A17" s="545">
        <v>1</v>
      </c>
      <c r="B17" s="64" t="str">
        <f>"Năm 2019 (phân bổ "&amp;100*F17&amp;"%)"</f>
        <v>Năm 2019 (phân bổ 0%)</v>
      </c>
      <c r="C17" s="545" t="s">
        <v>182</v>
      </c>
      <c r="D17" s="545" t="str">
        <f t="shared" ref="D17:D18" si="2">"E x "&amp;100*F17&amp;"%"</f>
        <v>E x 0%</v>
      </c>
      <c r="E17" s="777">
        <f t="shared" ref="E17:E18" si="3">ROUND($E$16*F17,1)</f>
        <v>0</v>
      </c>
      <c r="F17" s="340"/>
      <c r="G17" s="827"/>
      <c r="H17" s="827"/>
    </row>
    <row r="18" spans="1:8" ht="15" customHeight="1" x14ac:dyDescent="0.25">
      <c r="A18" s="480">
        <v>2</v>
      </c>
      <c r="B18" s="911" t="str">
        <f>"Năm 2020 (phân bổ "&amp;100*F18&amp;"%)"</f>
        <v>Năm 2020 (phân bổ 0%)</v>
      </c>
      <c r="C18" s="480" t="s">
        <v>550</v>
      </c>
      <c r="D18" s="480" t="str">
        <f t="shared" si="2"/>
        <v>E x 0%</v>
      </c>
      <c r="E18" s="716">
        <f t="shared" si="3"/>
        <v>0</v>
      </c>
      <c r="F18" s="271"/>
      <c r="G18" s="827"/>
      <c r="H18" s="827"/>
    </row>
    <row r="19" spans="1:8" ht="28.15" customHeight="1" x14ac:dyDescent="0.25">
      <c r="A19" s="588" t="s">
        <v>1245</v>
      </c>
      <c r="B19" s="94" t="s">
        <v>1112</v>
      </c>
      <c r="C19" s="588"/>
      <c r="D19" s="588"/>
      <c r="E19" s="807"/>
      <c r="F19" s="514"/>
      <c r="G19" s="827"/>
      <c r="H19" s="827"/>
    </row>
    <row r="20" spans="1:8" ht="15" customHeight="1" x14ac:dyDescent="0.25">
      <c r="A20" s="545">
        <v>1</v>
      </c>
      <c r="B20" s="317" t="s">
        <v>1148</v>
      </c>
      <c r="C20" s="545" t="s">
        <v>200</v>
      </c>
      <c r="D20" s="545" t="s">
        <v>708</v>
      </c>
      <c r="E20" s="777">
        <f t="shared" ref="E20:E21" si="4">ROUND(E14*E17,1)</f>
        <v>0</v>
      </c>
      <c r="F20" s="477"/>
      <c r="G20" s="827"/>
      <c r="H20" s="827"/>
    </row>
    <row r="21" spans="1:8" ht="15" customHeight="1" x14ac:dyDescent="0.25">
      <c r="A21" s="458">
        <v>2</v>
      </c>
      <c r="B21" s="235" t="s">
        <v>1453</v>
      </c>
      <c r="C21" s="458" t="s">
        <v>178</v>
      </c>
      <c r="D21" s="458" t="s">
        <v>1308</v>
      </c>
      <c r="E21" s="168">
        <f t="shared" si="4"/>
        <v>0</v>
      </c>
      <c r="F21" s="396"/>
      <c r="G21" s="827"/>
      <c r="H21" s="827"/>
    </row>
    <row r="22" spans="1:8" ht="15" customHeight="1" x14ac:dyDescent="0.25">
      <c r="A22" s="233"/>
      <c r="B22" s="680" t="s">
        <v>1072</v>
      </c>
      <c r="C22" s="233" t="s">
        <v>146</v>
      </c>
      <c r="D22" s="233" t="s">
        <v>64</v>
      </c>
      <c r="E22" s="833">
        <f>ROUND(E20+E21,1)</f>
        <v>0</v>
      </c>
      <c r="F22" s="177"/>
      <c r="G22" s="827"/>
      <c r="H22" s="827"/>
    </row>
    <row r="23" spans="1:8" ht="15" customHeight="1" x14ac:dyDescent="0.25">
      <c r="A23" s="714" t="s">
        <v>1200</v>
      </c>
      <c r="B23" s="236" t="s">
        <v>1303</v>
      </c>
      <c r="C23" s="714"/>
      <c r="D23" s="714" t="s">
        <v>831</v>
      </c>
      <c r="E23" s="33">
        <f>IF(E21=0,0,IF(ISERR(E22-E16),0,E22-E16))</f>
        <v>0</v>
      </c>
      <c r="F23" s="489">
        <f>IF(ISERR(E23/E16),0,E23/E16)</f>
        <v>0</v>
      </c>
      <c r="G23" s="827"/>
      <c r="H23" s="827"/>
    </row>
    <row r="24" spans="1:8" ht="15" customHeight="1" x14ac:dyDescent="0.25">
      <c r="A24" s="892"/>
      <c r="B24" s="827"/>
      <c r="C24" s="892"/>
      <c r="D24" s="892"/>
      <c r="E24" s="827"/>
      <c r="F24" s="827"/>
      <c r="G24" s="827"/>
      <c r="H24" s="827"/>
    </row>
    <row r="25" spans="1:8" ht="15" customHeight="1" x14ac:dyDescent="0.25">
      <c r="A25" s="892"/>
      <c r="B25" s="827"/>
      <c r="C25" s="892"/>
      <c r="D25" s="892"/>
      <c r="E25" s="827"/>
      <c r="F25" s="827"/>
      <c r="G25" s="827"/>
      <c r="H25" s="827"/>
    </row>
    <row r="26" spans="1:8" ht="15" customHeight="1" x14ac:dyDescent="0.25">
      <c r="A26" s="892"/>
      <c r="B26" s="827"/>
      <c r="C26" s="892"/>
      <c r="D26" s="892"/>
      <c r="E26" s="827"/>
      <c r="F26" s="827"/>
      <c r="G26" s="827"/>
      <c r="H26" s="827"/>
    </row>
    <row r="27" spans="1:8" ht="15" customHeight="1" x14ac:dyDescent="0.25">
      <c r="A27" s="892"/>
      <c r="B27" s="827"/>
      <c r="C27" s="892"/>
      <c r="D27" s="892"/>
      <c r="E27" s="827"/>
      <c r="F27" s="827"/>
      <c r="G27" s="827"/>
      <c r="H27" s="827"/>
    </row>
    <row r="28" spans="1:8" ht="15" customHeight="1" x14ac:dyDescent="0.25">
      <c r="A28" s="892"/>
      <c r="B28" s="827"/>
      <c r="C28" s="892"/>
      <c r="D28" s="892"/>
      <c r="E28" s="827"/>
      <c r="F28" s="827"/>
      <c r="G28" s="827"/>
      <c r="H28" s="827"/>
    </row>
    <row r="29" spans="1:8" ht="15" customHeight="1" x14ac:dyDescent="0.25">
      <c r="A29" s="892"/>
      <c r="B29" s="827"/>
      <c r="C29" s="892"/>
      <c r="D29" s="892"/>
      <c r="E29" s="827"/>
      <c r="F29" s="827"/>
      <c r="G29" s="827"/>
      <c r="H29" s="827"/>
    </row>
    <row r="30" spans="1:8" ht="15" customHeight="1" x14ac:dyDescent="0.25">
      <c r="A30" s="892"/>
      <c r="B30" s="827"/>
      <c r="C30" s="892"/>
      <c r="D30" s="892"/>
      <c r="E30" s="827"/>
      <c r="F30" s="827"/>
      <c r="G30" s="827"/>
      <c r="H30" s="827"/>
    </row>
    <row r="31" spans="1:8" ht="15" customHeight="1" x14ac:dyDescent="0.25">
      <c r="A31" s="892"/>
      <c r="B31" s="827"/>
      <c r="C31" s="892"/>
      <c r="D31" s="892"/>
      <c r="E31" s="827"/>
      <c r="F31" s="827"/>
      <c r="G31" s="827"/>
      <c r="H31" s="827"/>
    </row>
    <row r="32" spans="1:8" ht="15" customHeight="1" x14ac:dyDescent="0.25">
      <c r="A32" s="892"/>
      <c r="B32" s="827"/>
      <c r="C32" s="892"/>
      <c r="D32" s="892"/>
      <c r="E32" s="827"/>
      <c r="F32" s="827"/>
      <c r="G32" s="827"/>
      <c r="H32" s="827"/>
    </row>
    <row r="33" spans="1:8" ht="15" customHeight="1" x14ac:dyDescent="0.25">
      <c r="A33" s="892"/>
      <c r="B33" s="827"/>
      <c r="C33" s="892"/>
      <c r="D33" s="892"/>
      <c r="E33" s="827"/>
      <c r="F33" s="827"/>
      <c r="G33" s="827"/>
      <c r="H33" s="827"/>
    </row>
    <row r="34" spans="1:8" ht="15" customHeight="1" x14ac:dyDescent="0.25">
      <c r="A34" s="892"/>
      <c r="B34" s="827"/>
      <c r="C34" s="892"/>
      <c r="D34" s="892"/>
      <c r="E34" s="827"/>
      <c r="F34" s="827"/>
      <c r="G34" s="827"/>
      <c r="H34" s="827"/>
    </row>
    <row r="35" spans="1:8" ht="15" customHeight="1" x14ac:dyDescent="0.25">
      <c r="A35" s="892"/>
      <c r="B35" s="827"/>
      <c r="C35" s="892"/>
      <c r="D35" s="892"/>
      <c r="E35" s="827"/>
      <c r="F35" s="827"/>
      <c r="G35" s="827"/>
      <c r="H35" s="827"/>
    </row>
    <row r="36" spans="1:8" ht="15" customHeight="1" x14ac:dyDescent="0.25">
      <c r="A36" s="892"/>
      <c r="B36" s="827"/>
      <c r="C36" s="892"/>
      <c r="D36" s="892"/>
      <c r="E36" s="827"/>
      <c r="F36" s="827"/>
      <c r="G36" s="827"/>
      <c r="H36" s="827"/>
    </row>
    <row r="37" spans="1:8" ht="15" customHeight="1" x14ac:dyDescent="0.25">
      <c r="A37" s="892"/>
      <c r="B37" s="827"/>
      <c r="C37" s="892"/>
      <c r="D37" s="892"/>
      <c r="E37" s="827"/>
      <c r="F37" s="827"/>
      <c r="G37" s="827"/>
      <c r="H37" s="827"/>
    </row>
    <row r="38" spans="1:8" ht="15" customHeight="1" x14ac:dyDescent="0.25">
      <c r="A38" s="892"/>
      <c r="B38" s="827"/>
      <c r="C38" s="892"/>
      <c r="D38" s="892"/>
      <c r="E38" s="827"/>
      <c r="F38" s="827"/>
      <c r="G38" s="827"/>
      <c r="H38" s="827"/>
    </row>
    <row r="39" spans="1:8" ht="15" customHeight="1" x14ac:dyDescent="0.25">
      <c r="A39" s="892"/>
      <c r="B39" s="827"/>
      <c r="C39" s="892"/>
      <c r="D39" s="892"/>
      <c r="E39" s="827"/>
      <c r="F39" s="827"/>
      <c r="G39" s="827"/>
      <c r="H39" s="827"/>
    </row>
    <row r="40" spans="1:8" ht="15" customHeight="1" x14ac:dyDescent="0.25">
      <c r="A40" s="892"/>
      <c r="B40" s="827"/>
      <c r="C40" s="892"/>
      <c r="D40" s="892"/>
      <c r="E40" s="827"/>
      <c r="F40" s="827"/>
      <c r="G40" s="827"/>
      <c r="H40" s="827"/>
    </row>
    <row r="41" spans="1:8" ht="15" customHeight="1" x14ac:dyDescent="0.25">
      <c r="A41" s="892"/>
      <c r="B41" s="827"/>
      <c r="C41" s="892"/>
      <c r="D41" s="892"/>
      <c r="E41" s="827"/>
      <c r="F41" s="827"/>
      <c r="G41" s="827"/>
      <c r="H41" s="827"/>
    </row>
    <row r="42" spans="1:8" ht="15" customHeight="1" x14ac:dyDescent="0.25">
      <c r="A42" s="892"/>
      <c r="B42" s="827"/>
      <c r="C42" s="892"/>
      <c r="D42" s="892"/>
      <c r="E42" s="827"/>
      <c r="F42" s="827"/>
      <c r="G42" s="827"/>
      <c r="H42" s="827"/>
    </row>
    <row r="43" spans="1:8" ht="15" customHeight="1" x14ac:dyDescent="0.25">
      <c r="A43" s="892"/>
      <c r="B43" s="827"/>
      <c r="C43" s="892"/>
      <c r="D43" s="892"/>
      <c r="E43" s="827"/>
      <c r="F43" s="827"/>
      <c r="G43" s="827"/>
      <c r="H43" s="827"/>
    </row>
    <row r="44" spans="1:8" ht="15" customHeight="1" x14ac:dyDescent="0.25">
      <c r="A44" s="892"/>
      <c r="B44" s="827"/>
      <c r="C44" s="892"/>
      <c r="D44" s="892"/>
      <c r="E44" s="827"/>
      <c r="F44" s="827"/>
      <c r="G44" s="827"/>
      <c r="H44" s="827"/>
    </row>
    <row r="45" spans="1:8" ht="15" customHeight="1" x14ac:dyDescent="0.25">
      <c r="A45" s="892"/>
      <c r="B45" s="827"/>
      <c r="C45" s="892"/>
      <c r="D45" s="892"/>
      <c r="E45" s="827"/>
      <c r="F45" s="827"/>
      <c r="G45" s="827"/>
      <c r="H45" s="827"/>
    </row>
    <row r="46" spans="1:8" ht="15" customHeight="1" x14ac:dyDescent="0.25">
      <c r="A46" s="892"/>
      <c r="B46" s="827"/>
      <c r="C46" s="892"/>
      <c r="D46" s="892"/>
      <c r="E46" s="827"/>
      <c r="F46" s="827"/>
      <c r="G46" s="827"/>
      <c r="H46" s="827"/>
    </row>
    <row r="47" spans="1:8" ht="15" customHeight="1" x14ac:dyDescent="0.25">
      <c r="A47" s="892"/>
      <c r="B47" s="827"/>
      <c r="C47" s="892"/>
      <c r="D47" s="892"/>
      <c r="E47" s="827"/>
      <c r="F47" s="827"/>
      <c r="G47" s="827"/>
      <c r="H47" s="827"/>
    </row>
    <row r="48" spans="1:8" ht="15" customHeight="1" x14ac:dyDescent="0.25">
      <c r="A48" s="892"/>
      <c r="B48" s="827"/>
      <c r="C48" s="892"/>
      <c r="D48" s="892"/>
      <c r="E48" s="827"/>
      <c r="F48" s="827"/>
      <c r="G48" s="827"/>
      <c r="H48" s="827"/>
    </row>
    <row r="49" spans="1:8" ht="15" customHeight="1" x14ac:dyDescent="0.25">
      <c r="A49" s="892"/>
      <c r="B49" s="827"/>
      <c r="C49" s="892"/>
      <c r="D49" s="892"/>
      <c r="E49" s="827"/>
      <c r="F49" s="827"/>
      <c r="G49" s="827"/>
      <c r="H49" s="827"/>
    </row>
    <row r="50" spans="1:8" ht="15" customHeight="1" x14ac:dyDescent="0.25">
      <c r="A50" s="892"/>
      <c r="B50" s="827"/>
      <c r="C50" s="892"/>
      <c r="D50" s="892"/>
      <c r="E50" s="827"/>
      <c r="F50" s="827"/>
      <c r="G50" s="827"/>
      <c r="H50" s="827"/>
    </row>
    <row r="51" spans="1:8" ht="15" customHeight="1" x14ac:dyDescent="0.25">
      <c r="A51" s="892"/>
      <c r="B51" s="827"/>
      <c r="C51" s="892"/>
      <c r="D51" s="892"/>
      <c r="E51" s="827"/>
      <c r="F51" s="827"/>
      <c r="G51" s="827"/>
      <c r="H51" s="827"/>
    </row>
    <row r="52" spans="1:8" ht="15" customHeight="1" x14ac:dyDescent="0.25">
      <c r="A52" s="892"/>
      <c r="B52" s="827"/>
      <c r="C52" s="892"/>
      <c r="D52" s="892"/>
      <c r="E52" s="827"/>
      <c r="F52" s="827"/>
      <c r="G52" s="827"/>
      <c r="H52" s="827"/>
    </row>
    <row r="53" spans="1:8" ht="15" customHeight="1" x14ac:dyDescent="0.25">
      <c r="A53" s="892"/>
      <c r="B53" s="827"/>
      <c r="C53" s="892"/>
      <c r="D53" s="892"/>
      <c r="E53" s="827"/>
      <c r="F53" s="827"/>
      <c r="G53" s="827"/>
      <c r="H53" s="827"/>
    </row>
    <row r="54" spans="1:8" ht="15" customHeight="1" x14ac:dyDescent="0.25">
      <c r="A54" s="892"/>
      <c r="B54" s="827"/>
      <c r="C54" s="892"/>
      <c r="D54" s="892"/>
      <c r="E54" s="827"/>
      <c r="F54" s="827"/>
      <c r="G54" s="827"/>
      <c r="H54" s="827"/>
    </row>
    <row r="55" spans="1:8" ht="15" customHeight="1" x14ac:dyDescent="0.25">
      <c r="A55" s="892"/>
      <c r="B55" s="827"/>
      <c r="C55" s="892"/>
      <c r="D55" s="892"/>
      <c r="E55" s="827"/>
      <c r="F55" s="827"/>
      <c r="G55" s="827"/>
      <c r="H55" s="827"/>
    </row>
    <row r="56" spans="1:8" ht="15" customHeight="1" x14ac:dyDescent="0.25">
      <c r="A56" s="892"/>
      <c r="B56" s="827"/>
      <c r="C56" s="892"/>
      <c r="D56" s="892"/>
      <c r="E56" s="827"/>
      <c r="F56" s="827"/>
      <c r="G56" s="827"/>
      <c r="H56" s="827"/>
    </row>
    <row r="57" spans="1:8" ht="15" customHeight="1" x14ac:dyDescent="0.25">
      <c r="A57" s="892"/>
      <c r="B57" s="827"/>
      <c r="C57" s="892"/>
      <c r="D57" s="892"/>
      <c r="E57" s="827"/>
      <c r="F57" s="827"/>
      <c r="G57" s="827"/>
      <c r="H57" s="827"/>
    </row>
    <row r="58" spans="1:8" ht="15" customHeight="1" x14ac:dyDescent="0.25">
      <c r="A58" s="892"/>
      <c r="B58" s="827"/>
      <c r="C58" s="892"/>
      <c r="D58" s="892"/>
      <c r="E58" s="827"/>
      <c r="F58" s="827"/>
      <c r="G58" s="827"/>
      <c r="H58" s="827"/>
    </row>
    <row r="59" spans="1:8" ht="15" customHeight="1" x14ac:dyDescent="0.25">
      <c r="A59" s="892"/>
      <c r="B59" s="827"/>
      <c r="C59" s="892"/>
      <c r="D59" s="892"/>
      <c r="E59" s="827"/>
      <c r="F59" s="827"/>
      <c r="G59" s="827"/>
      <c r="H59" s="827"/>
    </row>
    <row r="60" spans="1:8" ht="15" customHeight="1" x14ac:dyDescent="0.25">
      <c r="A60" s="892"/>
      <c r="B60" s="827"/>
      <c r="C60" s="892"/>
      <c r="D60" s="892"/>
      <c r="E60" s="827"/>
      <c r="F60" s="827"/>
      <c r="G60" s="827"/>
      <c r="H60" s="827"/>
    </row>
    <row r="61" spans="1:8" ht="15" customHeight="1" x14ac:dyDescent="0.25">
      <c r="A61" s="892"/>
      <c r="B61" s="827"/>
      <c r="C61" s="892"/>
      <c r="D61" s="892"/>
      <c r="E61" s="827"/>
      <c r="F61" s="827"/>
      <c r="G61" s="827"/>
      <c r="H61" s="827"/>
    </row>
    <row r="62" spans="1:8" ht="15" customHeight="1" x14ac:dyDescent="0.25">
      <c r="A62" s="892"/>
      <c r="B62" s="827"/>
      <c r="C62" s="892"/>
      <c r="D62" s="892"/>
      <c r="E62" s="827"/>
      <c r="F62" s="827"/>
      <c r="G62" s="827"/>
      <c r="H62" s="827"/>
    </row>
    <row r="63" spans="1:8" ht="15" customHeight="1" x14ac:dyDescent="0.25">
      <c r="A63" s="892"/>
      <c r="B63" s="827"/>
      <c r="C63" s="892"/>
      <c r="D63" s="892"/>
      <c r="E63" s="827"/>
      <c r="F63" s="827"/>
      <c r="G63" s="827"/>
      <c r="H63" s="827"/>
    </row>
    <row r="64" spans="1:8" ht="15" customHeight="1" x14ac:dyDescent="0.25">
      <c r="A64" s="892"/>
      <c r="B64" s="827"/>
      <c r="C64" s="892"/>
      <c r="D64" s="892"/>
      <c r="E64" s="827"/>
      <c r="F64" s="827"/>
      <c r="G64" s="827"/>
      <c r="H64" s="827"/>
    </row>
    <row r="65" spans="1:8" ht="15" customHeight="1" x14ac:dyDescent="0.25">
      <c r="A65" s="892"/>
      <c r="B65" s="827"/>
      <c r="C65" s="892"/>
      <c r="D65" s="892"/>
      <c r="E65" s="827"/>
      <c r="F65" s="827"/>
      <c r="G65" s="827"/>
      <c r="H65" s="827"/>
    </row>
    <row r="66" spans="1:8" ht="15" customHeight="1" x14ac:dyDescent="0.25">
      <c r="A66" s="892"/>
      <c r="B66" s="827"/>
      <c r="C66" s="892"/>
      <c r="D66" s="892"/>
      <c r="E66" s="827"/>
      <c r="F66" s="827"/>
      <c r="G66" s="827"/>
      <c r="H66" s="827"/>
    </row>
    <row r="67" spans="1:8" ht="15" customHeight="1" x14ac:dyDescent="0.25">
      <c r="A67" s="892"/>
      <c r="B67" s="827"/>
      <c r="C67" s="892"/>
      <c r="D67" s="892"/>
      <c r="E67" s="827"/>
      <c r="F67" s="827"/>
      <c r="G67" s="827"/>
      <c r="H67" s="827"/>
    </row>
    <row r="68" spans="1:8" ht="15" customHeight="1" x14ac:dyDescent="0.25">
      <c r="A68" s="892"/>
      <c r="B68" s="827"/>
      <c r="C68" s="892"/>
      <c r="D68" s="892"/>
      <c r="E68" s="827"/>
      <c r="F68" s="827"/>
      <c r="G68" s="827"/>
      <c r="H68" s="827"/>
    </row>
    <row r="69" spans="1:8" ht="15" customHeight="1" x14ac:dyDescent="0.25">
      <c r="A69" s="892"/>
      <c r="B69" s="827"/>
      <c r="C69" s="892"/>
      <c r="D69" s="892"/>
      <c r="E69" s="827"/>
      <c r="F69" s="827"/>
      <c r="G69" s="827"/>
      <c r="H69" s="827"/>
    </row>
    <row r="70" spans="1:8" ht="15" customHeight="1" x14ac:dyDescent="0.25">
      <c r="A70" s="892"/>
      <c r="B70" s="827"/>
      <c r="C70" s="892"/>
      <c r="D70" s="892"/>
      <c r="E70" s="827"/>
      <c r="F70" s="827"/>
      <c r="G70" s="827"/>
      <c r="H70" s="827"/>
    </row>
    <row r="71" spans="1:8" ht="15" customHeight="1" x14ac:dyDescent="0.25">
      <c r="A71" s="892"/>
      <c r="B71" s="827"/>
      <c r="C71" s="892"/>
      <c r="D71" s="892"/>
      <c r="E71" s="827"/>
      <c r="F71" s="827"/>
      <c r="G71" s="827"/>
      <c r="H71" s="827"/>
    </row>
    <row r="72" spans="1:8" ht="15" customHeight="1" x14ac:dyDescent="0.25">
      <c r="A72" s="892"/>
      <c r="B72" s="827"/>
      <c r="C72" s="892"/>
      <c r="D72" s="892"/>
      <c r="E72" s="827"/>
      <c r="F72" s="827"/>
      <c r="G72" s="827"/>
      <c r="H72" s="827"/>
    </row>
    <row r="73" spans="1:8" ht="15" customHeight="1" x14ac:dyDescent="0.25">
      <c r="A73" s="892"/>
      <c r="B73" s="827"/>
      <c r="C73" s="892"/>
      <c r="D73" s="892"/>
      <c r="E73" s="827"/>
      <c r="F73" s="827"/>
      <c r="G73" s="827"/>
      <c r="H73" s="827"/>
    </row>
    <row r="74" spans="1:8" ht="15" customHeight="1" x14ac:dyDescent="0.25">
      <c r="A74" s="892"/>
      <c r="B74" s="827"/>
      <c r="C74" s="892"/>
      <c r="D74" s="892"/>
      <c r="E74" s="827"/>
      <c r="F74" s="827"/>
      <c r="G74" s="827"/>
      <c r="H74" s="827"/>
    </row>
    <row r="75" spans="1:8" ht="15" customHeight="1" x14ac:dyDescent="0.25">
      <c r="A75" s="892"/>
      <c r="B75" s="827"/>
      <c r="C75" s="892"/>
      <c r="D75" s="892"/>
      <c r="E75" s="827"/>
      <c r="F75" s="827"/>
      <c r="G75" s="827"/>
      <c r="H75" s="827"/>
    </row>
    <row r="76" spans="1:8" ht="15" customHeight="1" x14ac:dyDescent="0.25">
      <c r="A76" s="892"/>
      <c r="B76" s="827"/>
      <c r="C76" s="892"/>
      <c r="D76" s="892"/>
      <c r="E76" s="827"/>
      <c r="F76" s="827"/>
      <c r="G76" s="827"/>
      <c r="H76" s="827"/>
    </row>
    <row r="77" spans="1:8" ht="15" customHeight="1" x14ac:dyDescent="0.25">
      <c r="A77" s="892"/>
      <c r="B77" s="827"/>
      <c r="C77" s="892"/>
      <c r="D77" s="892"/>
      <c r="E77" s="827"/>
      <c r="F77" s="827"/>
      <c r="G77" s="827"/>
      <c r="H77" s="827"/>
    </row>
    <row r="78" spans="1:8" ht="15" customHeight="1" x14ac:dyDescent="0.25">
      <c r="A78" s="892"/>
      <c r="B78" s="827"/>
      <c r="C78" s="892"/>
      <c r="D78" s="892"/>
      <c r="E78" s="827"/>
      <c r="F78" s="827"/>
      <c r="G78" s="827"/>
      <c r="H78" s="827"/>
    </row>
    <row r="79" spans="1:8" ht="15" customHeight="1" x14ac:dyDescent="0.25">
      <c r="A79" s="892"/>
      <c r="B79" s="827"/>
      <c r="C79" s="892"/>
      <c r="D79" s="892"/>
      <c r="E79" s="827"/>
      <c r="F79" s="827"/>
      <c r="G79" s="827"/>
      <c r="H79" s="827"/>
    </row>
    <row r="80" spans="1:8" ht="15" customHeight="1" x14ac:dyDescent="0.25">
      <c r="A80" s="892"/>
      <c r="B80" s="827"/>
      <c r="C80" s="892"/>
      <c r="D80" s="892"/>
      <c r="E80" s="827"/>
      <c r="F80" s="827"/>
      <c r="G80" s="827"/>
      <c r="H80" s="827"/>
    </row>
    <row r="81" spans="1:8" ht="15" customHeight="1" x14ac:dyDescent="0.25">
      <c r="A81" s="892"/>
      <c r="B81" s="827"/>
      <c r="C81" s="892"/>
      <c r="D81" s="892"/>
      <c r="E81" s="827"/>
      <c r="F81" s="827"/>
      <c r="G81" s="827"/>
      <c r="H81" s="827"/>
    </row>
    <row r="82" spans="1:8" ht="15" customHeight="1" x14ac:dyDescent="0.25">
      <c r="A82" s="892"/>
      <c r="B82" s="827"/>
      <c r="C82" s="892"/>
      <c r="D82" s="892"/>
      <c r="E82" s="827"/>
      <c r="F82" s="827"/>
      <c r="G82" s="827"/>
      <c r="H82" s="827"/>
    </row>
    <row r="83" spans="1:8" ht="15" customHeight="1" x14ac:dyDescent="0.25">
      <c r="A83" s="892"/>
      <c r="B83" s="827"/>
      <c r="C83" s="892"/>
      <c r="D83" s="892"/>
      <c r="E83" s="827"/>
      <c r="F83" s="827"/>
      <c r="G83" s="827"/>
      <c r="H83" s="827"/>
    </row>
    <row r="84" spans="1:8" ht="15" customHeight="1" x14ac:dyDescent="0.25">
      <c r="A84" s="892"/>
      <c r="B84" s="827"/>
      <c r="C84" s="892"/>
      <c r="D84" s="892"/>
      <c r="E84" s="827"/>
      <c r="F84" s="827"/>
      <c r="G84" s="827"/>
      <c r="H84" s="827"/>
    </row>
    <row r="85" spans="1:8" ht="15" customHeight="1" x14ac:dyDescent="0.25">
      <c r="A85" s="892"/>
      <c r="B85" s="827"/>
      <c r="C85" s="892"/>
      <c r="D85" s="892"/>
      <c r="E85" s="827"/>
      <c r="F85" s="827"/>
      <c r="G85" s="827"/>
      <c r="H85" s="827"/>
    </row>
    <row r="86" spans="1:8" ht="15" customHeight="1" x14ac:dyDescent="0.25">
      <c r="A86" s="892"/>
      <c r="B86" s="827"/>
      <c r="C86" s="892"/>
      <c r="D86" s="892"/>
      <c r="E86" s="827"/>
      <c r="F86" s="827"/>
      <c r="G86" s="827"/>
      <c r="H86" s="827"/>
    </row>
    <row r="87" spans="1:8" ht="15" customHeight="1" x14ac:dyDescent="0.25">
      <c r="A87" s="892"/>
      <c r="B87" s="827"/>
      <c r="C87" s="892"/>
      <c r="D87" s="892"/>
      <c r="E87" s="827"/>
      <c r="F87" s="827"/>
      <c r="G87" s="827"/>
      <c r="H87" s="827"/>
    </row>
    <row r="88" spans="1:8" ht="15" customHeight="1" x14ac:dyDescent="0.25">
      <c r="A88" s="892"/>
      <c r="B88" s="827"/>
      <c r="C88" s="892"/>
      <c r="D88" s="892"/>
      <c r="E88" s="827"/>
      <c r="F88" s="827"/>
      <c r="G88" s="827"/>
      <c r="H88" s="827"/>
    </row>
    <row r="89" spans="1:8" ht="15" customHeight="1" x14ac:dyDescent="0.25">
      <c r="A89" s="892"/>
      <c r="B89" s="827"/>
      <c r="C89" s="892"/>
      <c r="D89" s="892"/>
      <c r="E89" s="827"/>
      <c r="F89" s="827"/>
      <c r="G89" s="827"/>
      <c r="H89" s="827"/>
    </row>
    <row r="90" spans="1:8" ht="15" customHeight="1" x14ac:dyDescent="0.25">
      <c r="A90" s="892"/>
      <c r="B90" s="827"/>
      <c r="C90" s="892"/>
      <c r="D90" s="892"/>
      <c r="E90" s="827"/>
      <c r="F90" s="827"/>
      <c r="G90" s="827"/>
      <c r="H90" s="827"/>
    </row>
    <row r="91" spans="1:8" ht="15" customHeight="1" x14ac:dyDescent="0.25">
      <c r="A91" s="892"/>
      <c r="B91" s="827"/>
      <c r="C91" s="892"/>
      <c r="D91" s="892"/>
      <c r="E91" s="827"/>
      <c r="F91" s="827"/>
      <c r="G91" s="827"/>
      <c r="H91" s="827"/>
    </row>
    <row r="92" spans="1:8" ht="15" customHeight="1" x14ac:dyDescent="0.25">
      <c r="A92" s="892"/>
      <c r="B92" s="827"/>
      <c r="C92" s="892"/>
      <c r="D92" s="892"/>
      <c r="E92" s="827"/>
      <c r="F92" s="827"/>
      <c r="G92" s="827"/>
      <c r="H92" s="827"/>
    </row>
    <row r="93" spans="1:8" ht="15" customHeight="1" x14ac:dyDescent="0.25">
      <c r="A93" s="892"/>
      <c r="B93" s="827"/>
      <c r="C93" s="892"/>
      <c r="D93" s="892"/>
      <c r="E93" s="827"/>
      <c r="F93" s="827"/>
      <c r="G93" s="827"/>
      <c r="H93" s="827"/>
    </row>
    <row r="94" spans="1:8" ht="15" customHeight="1" x14ac:dyDescent="0.25">
      <c r="A94" s="892"/>
      <c r="B94" s="827"/>
      <c r="C94" s="892"/>
      <c r="D94" s="892"/>
      <c r="E94" s="827"/>
      <c r="F94" s="827"/>
      <c r="G94" s="827"/>
      <c r="H94" s="827"/>
    </row>
    <row r="95" spans="1:8" ht="15" customHeight="1" x14ac:dyDescent="0.25">
      <c r="A95" s="892"/>
      <c r="B95" s="827"/>
      <c r="C95" s="892"/>
      <c r="D95" s="892"/>
      <c r="E95" s="827"/>
      <c r="F95" s="827"/>
      <c r="G95" s="827"/>
      <c r="H95" s="827"/>
    </row>
    <row r="96" spans="1:8" ht="15" customHeight="1" x14ac:dyDescent="0.25">
      <c r="A96" s="892"/>
      <c r="B96" s="827"/>
      <c r="C96" s="892"/>
      <c r="D96" s="892"/>
      <c r="E96" s="827"/>
      <c r="F96" s="827"/>
      <c r="G96" s="827"/>
      <c r="H96" s="827"/>
    </row>
    <row r="97" spans="1:8" ht="15" customHeight="1" x14ac:dyDescent="0.25">
      <c r="A97" s="892"/>
      <c r="B97" s="827"/>
      <c r="C97" s="892"/>
      <c r="D97" s="892"/>
      <c r="E97" s="827"/>
      <c r="F97" s="827"/>
      <c r="G97" s="827"/>
      <c r="H97" s="827"/>
    </row>
    <row r="98" spans="1:8" ht="15" customHeight="1" x14ac:dyDescent="0.25">
      <c r="A98" s="892"/>
      <c r="B98" s="827"/>
      <c r="C98" s="892"/>
      <c r="D98" s="892"/>
      <c r="E98" s="827"/>
      <c r="F98" s="827"/>
      <c r="G98" s="827"/>
      <c r="H98" s="827"/>
    </row>
    <row r="99" spans="1:8" ht="15" customHeight="1" x14ac:dyDescent="0.25">
      <c r="A99" s="892"/>
      <c r="B99" s="827"/>
      <c r="C99" s="892"/>
      <c r="D99" s="892"/>
      <c r="E99" s="827"/>
      <c r="F99" s="827"/>
      <c r="G99" s="827"/>
      <c r="H99" s="827"/>
    </row>
    <row r="100" spans="1:8" ht="15" customHeight="1" x14ac:dyDescent="0.25">
      <c r="A100" s="892"/>
      <c r="B100" s="827"/>
      <c r="C100" s="892"/>
      <c r="D100" s="892"/>
      <c r="E100" s="827"/>
      <c r="F100" s="827"/>
      <c r="G100" s="827"/>
      <c r="H100" s="827"/>
    </row>
    <row r="101" spans="1:8" ht="15" customHeight="1" x14ac:dyDescent="0.25">
      <c r="A101" s="892"/>
      <c r="B101" s="827"/>
      <c r="C101" s="892"/>
      <c r="D101" s="892"/>
      <c r="E101" s="827"/>
      <c r="F101" s="827"/>
      <c r="G101" s="827"/>
      <c r="H101" s="827"/>
    </row>
    <row r="102" spans="1:8" ht="15" customHeight="1" x14ac:dyDescent="0.25">
      <c r="A102" s="892"/>
      <c r="B102" s="827"/>
      <c r="C102" s="892"/>
      <c r="D102" s="892"/>
      <c r="E102" s="827"/>
      <c r="F102" s="827"/>
      <c r="G102" s="827"/>
      <c r="H102" s="827"/>
    </row>
    <row r="103" spans="1:8" ht="15" customHeight="1" x14ac:dyDescent="0.25">
      <c r="A103" s="892"/>
      <c r="B103" s="827"/>
      <c r="C103" s="892"/>
      <c r="D103" s="892"/>
      <c r="E103" s="827"/>
      <c r="F103" s="827"/>
      <c r="G103" s="827"/>
      <c r="H103" s="827"/>
    </row>
    <row r="104" spans="1:8" ht="15" customHeight="1" x14ac:dyDescent="0.25">
      <c r="A104" s="892"/>
      <c r="B104" s="827"/>
      <c r="C104" s="892"/>
      <c r="D104" s="892"/>
      <c r="E104" s="827"/>
      <c r="F104" s="827"/>
      <c r="G104" s="827"/>
      <c r="H104" s="827"/>
    </row>
    <row r="105" spans="1:8" ht="15" customHeight="1" x14ac:dyDescent="0.25">
      <c r="A105" s="892"/>
      <c r="B105" s="827"/>
      <c r="C105" s="892"/>
      <c r="D105" s="892"/>
      <c r="E105" s="827"/>
      <c r="F105" s="827"/>
      <c r="G105" s="827"/>
      <c r="H105" s="827"/>
    </row>
    <row r="106" spans="1:8" ht="15" customHeight="1" x14ac:dyDescent="0.25">
      <c r="A106" s="892"/>
      <c r="B106" s="827"/>
      <c r="C106" s="892"/>
      <c r="D106" s="892"/>
      <c r="E106" s="827"/>
      <c r="F106" s="827"/>
      <c r="G106" s="827"/>
      <c r="H106" s="827"/>
    </row>
    <row r="107" spans="1:8" ht="15" customHeight="1" x14ac:dyDescent="0.25">
      <c r="A107" s="892"/>
      <c r="B107" s="827"/>
      <c r="C107" s="892"/>
      <c r="D107" s="892"/>
      <c r="E107" s="827"/>
      <c r="F107" s="827"/>
      <c r="G107" s="827"/>
      <c r="H107" s="827"/>
    </row>
    <row r="108" spans="1:8" ht="15" customHeight="1" x14ac:dyDescent="0.25">
      <c r="A108" s="892"/>
      <c r="B108" s="827"/>
      <c r="C108" s="892"/>
      <c r="D108" s="892"/>
      <c r="E108" s="827"/>
      <c r="F108" s="827"/>
      <c r="G108" s="827"/>
      <c r="H108" s="827"/>
    </row>
    <row r="109" spans="1:8" ht="15" customHeight="1" x14ac:dyDescent="0.25">
      <c r="A109" s="892"/>
      <c r="B109" s="827"/>
      <c r="C109" s="892"/>
      <c r="D109" s="892"/>
      <c r="E109" s="827"/>
      <c r="F109" s="827"/>
      <c r="G109" s="827"/>
      <c r="H109" s="827"/>
    </row>
    <row r="110" spans="1:8" ht="15" customHeight="1" x14ac:dyDescent="0.25">
      <c r="A110" s="892"/>
      <c r="B110" s="827"/>
      <c r="C110" s="892"/>
      <c r="D110" s="892"/>
      <c r="E110" s="827"/>
      <c r="F110" s="827"/>
      <c r="G110" s="827"/>
      <c r="H110" s="827"/>
    </row>
    <row r="111" spans="1:8" ht="15" customHeight="1" x14ac:dyDescent="0.25">
      <c r="A111" s="892"/>
      <c r="B111" s="827"/>
      <c r="C111" s="892"/>
      <c r="D111" s="892"/>
      <c r="E111" s="827"/>
      <c r="F111" s="827"/>
      <c r="G111" s="827"/>
      <c r="H111" s="827"/>
    </row>
    <row r="112" spans="1:8" ht="15" customHeight="1" x14ac:dyDescent="0.25">
      <c r="A112" s="892"/>
      <c r="B112" s="827"/>
      <c r="C112" s="892"/>
      <c r="D112" s="892"/>
      <c r="E112" s="827"/>
      <c r="F112" s="827"/>
      <c r="G112" s="827"/>
      <c r="H112" s="827"/>
    </row>
    <row r="113" spans="1:8" ht="15" customHeight="1" x14ac:dyDescent="0.25">
      <c r="A113" s="892"/>
      <c r="B113" s="827"/>
      <c r="C113" s="892"/>
      <c r="D113" s="892"/>
      <c r="E113" s="827"/>
      <c r="F113" s="827"/>
      <c r="G113" s="827"/>
      <c r="H113" s="827"/>
    </row>
    <row r="114" spans="1:8" ht="15" customHeight="1" x14ac:dyDescent="0.25">
      <c r="A114" s="892"/>
      <c r="B114" s="827"/>
      <c r="C114" s="892"/>
      <c r="D114" s="892"/>
      <c r="E114" s="827"/>
      <c r="F114" s="827"/>
      <c r="G114" s="827"/>
      <c r="H114" s="827"/>
    </row>
    <row r="115" spans="1:8" ht="15" customHeight="1" x14ac:dyDescent="0.25">
      <c r="A115" s="892"/>
      <c r="B115" s="827"/>
      <c r="C115" s="892"/>
      <c r="D115" s="892"/>
      <c r="E115" s="827"/>
      <c r="F115" s="827"/>
      <c r="G115" s="827"/>
      <c r="H115" s="827"/>
    </row>
    <row r="116" spans="1:8" ht="15" customHeight="1" x14ac:dyDescent="0.25">
      <c r="A116" s="892"/>
      <c r="B116" s="827"/>
      <c r="C116" s="892"/>
      <c r="D116" s="892"/>
      <c r="E116" s="827"/>
      <c r="F116" s="827"/>
      <c r="G116" s="827"/>
      <c r="H116" s="827"/>
    </row>
    <row r="117" spans="1:8" ht="15" customHeight="1" x14ac:dyDescent="0.25">
      <c r="A117" s="892"/>
      <c r="B117" s="827"/>
      <c r="C117" s="892"/>
      <c r="D117" s="892"/>
      <c r="E117" s="827"/>
      <c r="F117" s="827"/>
      <c r="G117" s="827"/>
      <c r="H117" s="827"/>
    </row>
    <row r="118" spans="1:8" ht="15" customHeight="1" x14ac:dyDescent="0.25">
      <c r="A118" s="892"/>
      <c r="B118" s="827"/>
      <c r="C118" s="892"/>
      <c r="D118" s="892"/>
      <c r="E118" s="827"/>
      <c r="F118" s="827"/>
      <c r="G118" s="827"/>
      <c r="H118" s="827"/>
    </row>
    <row r="119" spans="1:8" ht="15" customHeight="1" x14ac:dyDescent="0.25">
      <c r="A119" s="892"/>
      <c r="B119" s="827"/>
      <c r="C119" s="892"/>
      <c r="D119" s="892"/>
      <c r="E119" s="827"/>
      <c r="F119" s="827"/>
      <c r="G119" s="827"/>
      <c r="H119" s="827"/>
    </row>
    <row r="120" spans="1:8" ht="15" customHeight="1" x14ac:dyDescent="0.25">
      <c r="A120" s="892"/>
      <c r="B120" s="827"/>
      <c r="C120" s="892"/>
      <c r="D120" s="892"/>
      <c r="E120" s="827"/>
      <c r="F120" s="827"/>
      <c r="G120" s="827"/>
      <c r="H120" s="827"/>
    </row>
    <row r="121" spans="1:8" ht="15" customHeight="1" x14ac:dyDescent="0.25">
      <c r="A121" s="892"/>
      <c r="B121" s="827"/>
      <c r="C121" s="892"/>
      <c r="D121" s="892"/>
      <c r="E121" s="827"/>
      <c r="F121" s="827"/>
      <c r="G121" s="827"/>
      <c r="H121" s="827"/>
    </row>
    <row r="122" spans="1:8" ht="15" customHeight="1" x14ac:dyDescent="0.25">
      <c r="A122" s="892"/>
      <c r="B122" s="827"/>
      <c r="C122" s="892"/>
      <c r="D122" s="892"/>
      <c r="E122" s="827"/>
      <c r="F122" s="827"/>
      <c r="G122" s="827"/>
      <c r="H122" s="827"/>
    </row>
    <row r="123" spans="1:8" ht="15" customHeight="1" x14ac:dyDescent="0.25">
      <c r="A123" s="892"/>
      <c r="B123" s="827"/>
      <c r="C123" s="892"/>
      <c r="D123" s="892"/>
      <c r="E123" s="827"/>
      <c r="F123" s="827"/>
      <c r="G123" s="827"/>
      <c r="H123" s="827"/>
    </row>
    <row r="124" spans="1:8" ht="15" customHeight="1" x14ac:dyDescent="0.25">
      <c r="A124" s="892"/>
      <c r="B124" s="827"/>
      <c r="C124" s="892"/>
      <c r="D124" s="892"/>
      <c r="E124" s="827"/>
      <c r="F124" s="827"/>
      <c r="G124" s="827"/>
      <c r="H124" s="827"/>
    </row>
    <row r="125" spans="1:8" ht="15" customHeight="1" x14ac:dyDescent="0.25">
      <c r="A125" s="892"/>
      <c r="B125" s="827"/>
      <c r="C125" s="892"/>
      <c r="D125" s="892"/>
      <c r="E125" s="827"/>
      <c r="F125" s="827"/>
      <c r="G125" s="827"/>
      <c r="H125" s="827"/>
    </row>
    <row r="126" spans="1:8" ht="15" customHeight="1" x14ac:dyDescent="0.25">
      <c r="A126" s="892"/>
      <c r="B126" s="827"/>
      <c r="C126" s="892"/>
      <c r="D126" s="892"/>
      <c r="E126" s="827"/>
      <c r="F126" s="827"/>
      <c r="G126" s="827"/>
      <c r="H126" s="827"/>
    </row>
    <row r="127" spans="1:8" ht="15" customHeight="1" x14ac:dyDescent="0.25">
      <c r="A127" s="892"/>
      <c r="B127" s="827"/>
      <c r="C127" s="892"/>
      <c r="D127" s="892"/>
      <c r="E127" s="827"/>
      <c r="F127" s="827"/>
      <c r="G127" s="827"/>
      <c r="H127" s="827"/>
    </row>
    <row r="128" spans="1:8" ht="15" customHeight="1" x14ac:dyDescent="0.25">
      <c r="A128" s="892"/>
      <c r="B128" s="827"/>
      <c r="C128" s="892"/>
      <c r="D128" s="892"/>
      <c r="E128" s="827"/>
      <c r="F128" s="827"/>
      <c r="G128" s="827"/>
      <c r="H128" s="827"/>
    </row>
    <row r="129" spans="1:8" ht="15" customHeight="1" x14ac:dyDescent="0.25">
      <c r="A129" s="892"/>
      <c r="B129" s="827"/>
      <c r="C129" s="892"/>
      <c r="D129" s="892"/>
      <c r="E129" s="827"/>
      <c r="F129" s="827"/>
      <c r="G129" s="827"/>
      <c r="H129" s="827"/>
    </row>
    <row r="130" spans="1:8" ht="15" customHeight="1" x14ac:dyDescent="0.25">
      <c r="A130" s="892"/>
      <c r="B130" s="827"/>
      <c r="C130" s="892"/>
      <c r="D130" s="892"/>
      <c r="E130" s="827"/>
      <c r="F130" s="827"/>
      <c r="G130" s="827"/>
      <c r="H130" s="827"/>
    </row>
    <row r="131" spans="1:8" ht="15" customHeight="1" x14ac:dyDescent="0.25">
      <c r="A131" s="892"/>
      <c r="B131" s="827"/>
      <c r="C131" s="892"/>
      <c r="D131" s="892"/>
      <c r="E131" s="827"/>
      <c r="F131" s="827"/>
      <c r="G131" s="827"/>
      <c r="H131" s="827"/>
    </row>
    <row r="132" spans="1:8" ht="15" customHeight="1" x14ac:dyDescent="0.25">
      <c r="A132" s="892"/>
      <c r="B132" s="827"/>
      <c r="C132" s="892"/>
      <c r="D132" s="892"/>
      <c r="E132" s="827"/>
      <c r="F132" s="827"/>
      <c r="G132" s="827"/>
      <c r="H132" s="827"/>
    </row>
    <row r="133" spans="1:8" ht="15" customHeight="1" x14ac:dyDescent="0.25">
      <c r="A133" s="892"/>
      <c r="B133" s="827"/>
      <c r="C133" s="892"/>
      <c r="D133" s="892"/>
      <c r="E133" s="827"/>
      <c r="F133" s="827"/>
      <c r="G133" s="827"/>
      <c r="H133" s="827"/>
    </row>
    <row r="134" spans="1:8" ht="15" customHeight="1" x14ac:dyDescent="0.25">
      <c r="A134" s="892"/>
      <c r="B134" s="827"/>
      <c r="C134" s="892"/>
      <c r="D134" s="892"/>
      <c r="E134" s="827"/>
      <c r="F134" s="827"/>
      <c r="G134" s="827"/>
      <c r="H134" s="827"/>
    </row>
    <row r="135" spans="1:8" ht="15" customHeight="1" x14ac:dyDescent="0.25">
      <c r="A135" s="892"/>
      <c r="B135" s="827"/>
      <c r="C135" s="892"/>
      <c r="D135" s="892"/>
      <c r="E135" s="827"/>
      <c r="F135" s="827"/>
      <c r="G135" s="827"/>
      <c r="H135" s="827"/>
    </row>
    <row r="136" spans="1:8" ht="15" customHeight="1" x14ac:dyDescent="0.25">
      <c r="A136" s="892"/>
      <c r="B136" s="827"/>
      <c r="C136" s="892"/>
      <c r="D136" s="892"/>
      <c r="E136" s="827"/>
      <c r="F136" s="827"/>
      <c r="G136" s="827"/>
      <c r="H136" s="827"/>
    </row>
    <row r="137" spans="1:8" ht="15" customHeight="1" x14ac:dyDescent="0.25">
      <c r="A137" s="892"/>
      <c r="B137" s="827"/>
      <c r="C137" s="892"/>
      <c r="D137" s="892"/>
      <c r="E137" s="827"/>
      <c r="F137" s="827"/>
      <c r="G137" s="827"/>
      <c r="H137" s="827"/>
    </row>
    <row r="138" spans="1:8" ht="15" customHeight="1" x14ac:dyDescent="0.25">
      <c r="A138" s="892"/>
      <c r="B138" s="827"/>
      <c r="C138" s="892"/>
      <c r="D138" s="892"/>
      <c r="E138" s="827"/>
      <c r="F138" s="827"/>
      <c r="G138" s="827"/>
      <c r="H138" s="827"/>
    </row>
    <row r="139" spans="1:8" ht="15" customHeight="1" x14ac:dyDescent="0.25">
      <c r="A139" s="892"/>
      <c r="B139" s="827"/>
      <c r="C139" s="892"/>
      <c r="D139" s="892"/>
      <c r="E139" s="827"/>
      <c r="F139" s="827"/>
      <c r="G139" s="827"/>
      <c r="H139" s="827"/>
    </row>
    <row r="140" spans="1:8" ht="15" customHeight="1" x14ac:dyDescent="0.25">
      <c r="A140" s="892"/>
      <c r="B140" s="827"/>
      <c r="C140" s="892"/>
      <c r="D140" s="892"/>
      <c r="E140" s="827"/>
      <c r="F140" s="827"/>
      <c r="G140" s="827"/>
      <c r="H140" s="827"/>
    </row>
    <row r="141" spans="1:8" ht="15" customHeight="1" x14ac:dyDescent="0.25">
      <c r="A141" s="892"/>
      <c r="B141" s="827"/>
      <c r="C141" s="892"/>
      <c r="D141" s="892"/>
      <c r="E141" s="827"/>
      <c r="F141" s="827"/>
      <c r="G141" s="827"/>
      <c r="H141" s="827"/>
    </row>
    <row r="142" spans="1:8" ht="15" customHeight="1" x14ac:dyDescent="0.25">
      <c r="A142" s="892"/>
      <c r="B142" s="827"/>
      <c r="C142" s="892"/>
      <c r="D142" s="892"/>
      <c r="E142" s="827"/>
      <c r="F142" s="827"/>
      <c r="G142" s="827"/>
      <c r="H142" s="827"/>
    </row>
    <row r="143" spans="1:8" ht="15" customHeight="1" x14ac:dyDescent="0.25">
      <c r="A143" s="892"/>
      <c r="B143" s="827"/>
      <c r="C143" s="892"/>
      <c r="D143" s="892"/>
      <c r="E143" s="827"/>
      <c r="F143" s="827"/>
      <c r="G143" s="827"/>
      <c r="H143" s="827"/>
    </row>
    <row r="144" spans="1:8" ht="15" customHeight="1" x14ac:dyDescent="0.25">
      <c r="A144" s="892"/>
      <c r="B144" s="827"/>
      <c r="C144" s="892"/>
      <c r="D144" s="892"/>
      <c r="E144" s="827"/>
      <c r="F144" s="827"/>
      <c r="G144" s="827"/>
      <c r="H144" s="827"/>
    </row>
    <row r="145" spans="1:8" ht="15" customHeight="1" x14ac:dyDescent="0.25">
      <c r="A145" s="892"/>
      <c r="B145" s="827"/>
      <c r="C145" s="892"/>
      <c r="D145" s="892"/>
      <c r="E145" s="827"/>
      <c r="F145" s="827"/>
      <c r="G145" s="827"/>
      <c r="H145" s="827"/>
    </row>
    <row r="146" spans="1:8" ht="15" customHeight="1" x14ac:dyDescent="0.25">
      <c r="A146" s="892"/>
      <c r="B146" s="827"/>
      <c r="C146" s="892"/>
      <c r="D146" s="892"/>
      <c r="E146" s="827"/>
      <c r="F146" s="827"/>
      <c r="G146" s="827"/>
      <c r="H146" s="827"/>
    </row>
    <row r="147" spans="1:8" ht="15" customHeight="1" x14ac:dyDescent="0.25">
      <c r="A147" s="892"/>
      <c r="B147" s="827"/>
      <c r="C147" s="892"/>
      <c r="D147" s="892"/>
      <c r="E147" s="827"/>
      <c r="F147" s="827"/>
      <c r="G147" s="827"/>
      <c r="H147" s="827"/>
    </row>
    <row r="148" spans="1:8" ht="15" customHeight="1" x14ac:dyDescent="0.25">
      <c r="A148" s="892"/>
      <c r="B148" s="827"/>
      <c r="C148" s="892"/>
      <c r="D148" s="892"/>
      <c r="E148" s="827"/>
      <c r="F148" s="827"/>
      <c r="G148" s="827"/>
      <c r="H148" s="827"/>
    </row>
    <row r="149" spans="1:8" ht="15" customHeight="1" x14ac:dyDescent="0.25">
      <c r="A149" s="892"/>
      <c r="B149" s="827"/>
      <c r="C149" s="892"/>
      <c r="D149" s="892"/>
      <c r="E149" s="827"/>
      <c r="F149" s="827"/>
      <c r="G149" s="827"/>
      <c r="H149" s="827"/>
    </row>
    <row r="150" spans="1:8" ht="15" customHeight="1" x14ac:dyDescent="0.25">
      <c r="A150" s="892"/>
      <c r="B150" s="827"/>
      <c r="C150" s="892"/>
      <c r="D150" s="892"/>
      <c r="E150" s="827"/>
      <c r="F150" s="827"/>
      <c r="G150" s="827"/>
      <c r="H150" s="827"/>
    </row>
    <row r="151" spans="1:8" ht="15" customHeight="1" x14ac:dyDescent="0.25">
      <c r="A151" s="892"/>
      <c r="B151" s="827"/>
      <c r="C151" s="892"/>
      <c r="D151" s="892"/>
      <c r="E151" s="827"/>
      <c r="F151" s="827"/>
      <c r="G151" s="827"/>
      <c r="H151" s="827"/>
    </row>
    <row r="152" spans="1:8" ht="15" customHeight="1" x14ac:dyDescent="0.25">
      <c r="A152" s="892"/>
      <c r="B152" s="827"/>
      <c r="C152" s="892"/>
      <c r="D152" s="892"/>
      <c r="E152" s="827"/>
      <c r="F152" s="827"/>
      <c r="G152" s="827"/>
      <c r="H152" s="827"/>
    </row>
    <row r="153" spans="1:8" ht="15" customHeight="1" x14ac:dyDescent="0.25">
      <c r="A153" s="892"/>
      <c r="B153" s="827"/>
      <c r="C153" s="892"/>
      <c r="D153" s="892"/>
      <c r="E153" s="827"/>
      <c r="F153" s="827"/>
      <c r="G153" s="827"/>
      <c r="H153" s="827"/>
    </row>
    <row r="154" spans="1:8" ht="15" customHeight="1" x14ac:dyDescent="0.25">
      <c r="A154" s="892"/>
      <c r="B154" s="827"/>
      <c r="C154" s="892"/>
      <c r="D154" s="892"/>
      <c r="E154" s="827"/>
      <c r="F154" s="827"/>
      <c r="G154" s="827"/>
      <c r="H154" s="827"/>
    </row>
    <row r="155" spans="1:8" ht="15" customHeight="1" x14ac:dyDescent="0.25">
      <c r="A155" s="892"/>
      <c r="B155" s="827"/>
      <c r="C155" s="892"/>
      <c r="D155" s="892"/>
      <c r="E155" s="827"/>
      <c r="F155" s="827"/>
      <c r="G155" s="827"/>
      <c r="H155" s="827"/>
    </row>
    <row r="156" spans="1:8" ht="15" customHeight="1" x14ac:dyDescent="0.25">
      <c r="A156" s="892"/>
      <c r="B156" s="827"/>
      <c r="C156" s="892"/>
      <c r="D156" s="892"/>
      <c r="E156" s="827"/>
      <c r="F156" s="827"/>
      <c r="G156" s="827"/>
      <c r="H156" s="827"/>
    </row>
    <row r="157" spans="1:8" ht="15" customHeight="1" x14ac:dyDescent="0.25">
      <c r="A157" s="892"/>
      <c r="B157" s="827"/>
      <c r="C157" s="892"/>
      <c r="D157" s="892"/>
      <c r="E157" s="827"/>
      <c r="F157" s="827"/>
      <c r="G157" s="827"/>
      <c r="H157" s="827"/>
    </row>
    <row r="158" spans="1:8" ht="15" customHeight="1" x14ac:dyDescent="0.25">
      <c r="A158" s="892"/>
      <c r="B158" s="827"/>
      <c r="C158" s="892"/>
      <c r="D158" s="892"/>
      <c r="E158" s="827"/>
      <c r="F158" s="827"/>
      <c r="G158" s="827"/>
      <c r="H158" s="827"/>
    </row>
    <row r="159" spans="1:8" ht="15" customHeight="1" x14ac:dyDescent="0.25">
      <c r="A159" s="892"/>
      <c r="B159" s="827"/>
      <c r="C159" s="892"/>
      <c r="D159" s="892"/>
      <c r="E159" s="827"/>
      <c r="F159" s="827"/>
      <c r="G159" s="827"/>
      <c r="H159" s="827"/>
    </row>
    <row r="160" spans="1:8" ht="15" customHeight="1" x14ac:dyDescent="0.25">
      <c r="A160" s="892"/>
      <c r="B160" s="827"/>
      <c r="C160" s="892"/>
      <c r="D160" s="892"/>
      <c r="E160" s="827"/>
      <c r="F160" s="827"/>
      <c r="G160" s="827"/>
      <c r="H160" s="827"/>
    </row>
    <row r="161" spans="1:8" ht="15" customHeight="1" x14ac:dyDescent="0.25">
      <c r="A161" s="892"/>
      <c r="B161" s="827"/>
      <c r="C161" s="892"/>
      <c r="D161" s="892"/>
      <c r="E161" s="827"/>
      <c r="F161" s="827"/>
      <c r="G161" s="827"/>
      <c r="H161" s="827"/>
    </row>
    <row r="162" spans="1:8" ht="15" customHeight="1" x14ac:dyDescent="0.25">
      <c r="A162" s="892"/>
      <c r="B162" s="827"/>
      <c r="C162" s="892"/>
      <c r="D162" s="892"/>
      <c r="E162" s="827"/>
      <c r="F162" s="827"/>
      <c r="G162" s="827"/>
      <c r="H162" s="827"/>
    </row>
    <row r="163" spans="1:8" ht="15" customHeight="1" x14ac:dyDescent="0.25">
      <c r="A163" s="892"/>
      <c r="B163" s="827"/>
      <c r="C163" s="892"/>
      <c r="D163" s="892"/>
      <c r="E163" s="827"/>
      <c r="F163" s="827"/>
      <c r="G163" s="827"/>
      <c r="H163" s="827"/>
    </row>
    <row r="164" spans="1:8" ht="15" customHeight="1" x14ac:dyDescent="0.25">
      <c r="A164" s="892"/>
      <c r="B164" s="827"/>
      <c r="C164" s="892"/>
      <c r="D164" s="892"/>
      <c r="E164" s="827"/>
      <c r="F164" s="827"/>
      <c r="G164" s="827"/>
      <c r="H164" s="827"/>
    </row>
    <row r="165" spans="1:8" ht="15" customHeight="1" x14ac:dyDescent="0.25">
      <c r="A165" s="892"/>
      <c r="B165" s="827"/>
      <c r="C165" s="892"/>
      <c r="D165" s="892"/>
      <c r="E165" s="827"/>
      <c r="F165" s="827"/>
      <c r="G165" s="827"/>
      <c r="H165" s="827"/>
    </row>
    <row r="166" spans="1:8" ht="15" customHeight="1" x14ac:dyDescent="0.25">
      <c r="A166" s="892"/>
      <c r="B166" s="827"/>
      <c r="C166" s="892"/>
      <c r="D166" s="892"/>
      <c r="E166" s="827"/>
      <c r="F166" s="827"/>
      <c r="G166" s="827"/>
      <c r="H166" s="827"/>
    </row>
    <row r="167" spans="1:8" ht="15" customHeight="1" x14ac:dyDescent="0.25">
      <c r="A167" s="892"/>
      <c r="B167" s="827"/>
      <c r="C167" s="892"/>
      <c r="D167" s="892"/>
      <c r="E167" s="827"/>
      <c r="F167" s="827"/>
      <c r="G167" s="827"/>
      <c r="H167" s="827"/>
    </row>
    <row r="168" spans="1:8" ht="15" customHeight="1" x14ac:dyDescent="0.25">
      <c r="A168" s="892"/>
      <c r="B168" s="827"/>
      <c r="C168" s="892"/>
      <c r="D168" s="892"/>
      <c r="E168" s="827"/>
      <c r="F168" s="827"/>
      <c r="G168" s="827"/>
      <c r="H168" s="827"/>
    </row>
    <row r="169" spans="1:8" ht="15" customHeight="1" x14ac:dyDescent="0.25">
      <c r="A169" s="892"/>
      <c r="B169" s="827"/>
      <c r="C169" s="892"/>
      <c r="D169" s="892"/>
      <c r="E169" s="827"/>
      <c r="F169" s="827"/>
      <c r="G169" s="827"/>
      <c r="H169" s="827"/>
    </row>
    <row r="170" spans="1:8" ht="15" customHeight="1" x14ac:dyDescent="0.25">
      <c r="A170" s="892"/>
      <c r="B170" s="827"/>
      <c r="C170" s="892"/>
      <c r="D170" s="892"/>
      <c r="E170" s="827"/>
      <c r="F170" s="827"/>
      <c r="G170" s="827"/>
      <c r="H170" s="827"/>
    </row>
    <row r="171" spans="1:8" ht="15" customHeight="1" x14ac:dyDescent="0.25">
      <c r="A171" s="892"/>
      <c r="B171" s="827"/>
      <c r="C171" s="892"/>
      <c r="D171" s="892"/>
      <c r="E171" s="827"/>
      <c r="F171" s="827"/>
      <c r="G171" s="827"/>
      <c r="H171" s="827"/>
    </row>
    <row r="172" spans="1:8" ht="15" customHeight="1" x14ac:dyDescent="0.25">
      <c r="A172" s="892"/>
      <c r="B172" s="827"/>
      <c r="C172" s="892"/>
      <c r="D172" s="892"/>
      <c r="E172" s="827"/>
      <c r="F172" s="827"/>
      <c r="G172" s="827"/>
      <c r="H172" s="827"/>
    </row>
    <row r="173" spans="1:8" ht="15" customHeight="1" x14ac:dyDescent="0.25">
      <c r="A173" s="892"/>
      <c r="B173" s="827"/>
      <c r="C173" s="892"/>
      <c r="D173" s="892"/>
      <c r="E173" s="827"/>
      <c r="F173" s="827"/>
      <c r="G173" s="827"/>
      <c r="H173" s="827"/>
    </row>
    <row r="174" spans="1:8" ht="15" customHeight="1" x14ac:dyDescent="0.25">
      <c r="A174" s="892"/>
      <c r="B174" s="827"/>
      <c r="C174" s="892"/>
      <c r="D174" s="892"/>
      <c r="E174" s="827"/>
      <c r="F174" s="827"/>
      <c r="G174" s="827"/>
      <c r="H174" s="827"/>
    </row>
    <row r="175" spans="1:8" ht="15" customHeight="1" x14ac:dyDescent="0.25">
      <c r="A175" s="892"/>
      <c r="B175" s="827"/>
      <c r="C175" s="892"/>
      <c r="D175" s="892"/>
      <c r="E175" s="827"/>
      <c r="F175" s="827"/>
      <c r="G175" s="827"/>
      <c r="H175" s="827"/>
    </row>
    <row r="176" spans="1:8" ht="15" customHeight="1" x14ac:dyDescent="0.25">
      <c r="A176" s="892"/>
      <c r="B176" s="827"/>
      <c r="C176" s="892"/>
      <c r="D176" s="892"/>
      <c r="E176" s="827"/>
      <c r="F176" s="827"/>
      <c r="G176" s="827"/>
      <c r="H176" s="827"/>
    </row>
    <row r="177" spans="1:8" ht="15" customHeight="1" x14ac:dyDescent="0.25">
      <c r="A177" s="892"/>
      <c r="B177" s="827"/>
      <c r="C177" s="892"/>
      <c r="D177" s="892"/>
      <c r="E177" s="827"/>
      <c r="F177" s="827"/>
      <c r="G177" s="827"/>
      <c r="H177" s="827"/>
    </row>
    <row r="178" spans="1:8" ht="15" customHeight="1" x14ac:dyDescent="0.25">
      <c r="A178" s="892"/>
      <c r="B178" s="827"/>
      <c r="C178" s="892"/>
      <c r="D178" s="892"/>
      <c r="E178" s="827"/>
      <c r="F178" s="827"/>
      <c r="G178" s="827"/>
      <c r="H178" s="827"/>
    </row>
    <row r="179" spans="1:8" ht="15" customHeight="1" x14ac:dyDescent="0.25">
      <c r="A179" s="892"/>
      <c r="B179" s="827"/>
      <c r="C179" s="892"/>
      <c r="D179" s="892"/>
      <c r="E179" s="827"/>
      <c r="F179" s="827"/>
      <c r="G179" s="827"/>
      <c r="H179" s="827"/>
    </row>
    <row r="180" spans="1:8" ht="15" customHeight="1" x14ac:dyDescent="0.25">
      <c r="A180" s="892"/>
      <c r="B180" s="827"/>
      <c r="C180" s="892"/>
      <c r="D180" s="892"/>
      <c r="E180" s="827"/>
      <c r="F180" s="827"/>
      <c r="G180" s="827"/>
      <c r="H180" s="827"/>
    </row>
    <row r="181" spans="1:8" ht="15" customHeight="1" x14ac:dyDescent="0.25">
      <c r="A181" s="892"/>
      <c r="B181" s="827"/>
      <c r="C181" s="892"/>
      <c r="D181" s="892"/>
      <c r="E181" s="827"/>
      <c r="F181" s="827"/>
      <c r="G181" s="827"/>
      <c r="H181" s="827"/>
    </row>
    <row r="182" spans="1:8" ht="15" customHeight="1" x14ac:dyDescent="0.25">
      <c r="A182" s="892"/>
      <c r="B182" s="827"/>
      <c r="C182" s="892"/>
      <c r="D182" s="892"/>
      <c r="E182" s="827"/>
      <c r="F182" s="827"/>
      <c r="G182" s="827"/>
      <c r="H182" s="827"/>
    </row>
    <row r="183" spans="1:8" ht="15" customHeight="1" x14ac:dyDescent="0.25">
      <c r="A183" s="892"/>
      <c r="B183" s="827"/>
      <c r="C183" s="892"/>
      <c r="D183" s="892"/>
      <c r="E183" s="827"/>
      <c r="F183" s="827"/>
      <c r="G183" s="827"/>
      <c r="H183" s="827"/>
    </row>
    <row r="184" spans="1:8" ht="15" customHeight="1" x14ac:dyDescent="0.25">
      <c r="A184" s="892"/>
      <c r="B184" s="827"/>
      <c r="C184" s="892"/>
      <c r="D184" s="892"/>
      <c r="E184" s="827"/>
      <c r="F184" s="827"/>
      <c r="G184" s="827"/>
      <c r="H184" s="827"/>
    </row>
    <row r="185" spans="1:8" ht="15" customHeight="1" x14ac:dyDescent="0.25">
      <c r="A185" s="892"/>
      <c r="B185" s="827"/>
      <c r="C185" s="892"/>
      <c r="D185" s="892"/>
      <c r="E185" s="827"/>
      <c r="F185" s="827"/>
      <c r="G185" s="827"/>
      <c r="H185" s="827"/>
    </row>
    <row r="186" spans="1:8" ht="15" customHeight="1" x14ac:dyDescent="0.25">
      <c r="A186" s="892"/>
      <c r="B186" s="827"/>
      <c r="C186" s="892"/>
      <c r="D186" s="892"/>
      <c r="E186" s="827"/>
      <c r="F186" s="827"/>
      <c r="G186" s="827"/>
      <c r="H186" s="827"/>
    </row>
    <row r="187" spans="1:8" ht="15" customHeight="1" x14ac:dyDescent="0.25">
      <c r="A187" s="892"/>
      <c r="B187" s="827"/>
      <c r="C187" s="892"/>
      <c r="D187" s="892"/>
      <c r="E187" s="827"/>
      <c r="F187" s="827"/>
      <c r="G187" s="827"/>
      <c r="H187" s="827"/>
    </row>
    <row r="188" spans="1:8" ht="15" customHeight="1" x14ac:dyDescent="0.25">
      <c r="A188" s="892"/>
      <c r="B188" s="827"/>
      <c r="C188" s="892"/>
      <c r="D188" s="892"/>
      <c r="E188" s="827"/>
      <c r="F188" s="827"/>
      <c r="G188" s="827"/>
      <c r="H188" s="827"/>
    </row>
    <row r="189" spans="1:8" ht="15" customHeight="1" x14ac:dyDescent="0.25">
      <c r="A189" s="892"/>
      <c r="B189" s="827"/>
      <c r="C189" s="892"/>
      <c r="D189" s="892"/>
      <c r="E189" s="827"/>
      <c r="F189" s="827"/>
      <c r="G189" s="827"/>
      <c r="H189" s="827"/>
    </row>
    <row r="190" spans="1:8" ht="15" customHeight="1" x14ac:dyDescent="0.25">
      <c r="A190" s="892"/>
      <c r="B190" s="827"/>
      <c r="C190" s="892"/>
      <c r="D190" s="892"/>
      <c r="E190" s="827"/>
      <c r="F190" s="827"/>
      <c r="G190" s="827"/>
      <c r="H190" s="827"/>
    </row>
    <row r="191" spans="1:8" ht="15" customHeight="1" x14ac:dyDescent="0.25">
      <c r="A191" s="892"/>
      <c r="B191" s="827"/>
      <c r="C191" s="892"/>
      <c r="D191" s="892"/>
      <c r="E191" s="827"/>
      <c r="F191" s="827"/>
      <c r="G191" s="827"/>
      <c r="H191" s="827"/>
    </row>
    <row r="192" spans="1:8" ht="15" customHeight="1" x14ac:dyDescent="0.25">
      <c r="A192" s="892"/>
      <c r="B192" s="827"/>
      <c r="C192" s="892"/>
      <c r="D192" s="892"/>
      <c r="E192" s="827"/>
      <c r="F192" s="827"/>
      <c r="G192" s="827"/>
      <c r="H192" s="827"/>
    </row>
    <row r="193" spans="1:8" ht="15" customHeight="1" x14ac:dyDescent="0.25">
      <c r="A193" s="892"/>
      <c r="B193" s="827"/>
      <c r="C193" s="892"/>
      <c r="D193" s="892"/>
      <c r="E193" s="827"/>
      <c r="F193" s="827"/>
      <c r="G193" s="827"/>
      <c r="H193" s="827"/>
    </row>
    <row r="194" spans="1:8" ht="15" customHeight="1" x14ac:dyDescent="0.25">
      <c r="A194" s="892"/>
      <c r="B194" s="827"/>
      <c r="C194" s="892"/>
      <c r="D194" s="892"/>
      <c r="E194" s="827"/>
      <c r="F194" s="827"/>
      <c r="G194" s="827"/>
      <c r="H194" s="827"/>
    </row>
    <row r="195" spans="1:8" ht="15" customHeight="1" x14ac:dyDescent="0.25">
      <c r="A195" s="892"/>
      <c r="B195" s="827"/>
      <c r="C195" s="892"/>
      <c r="D195" s="892"/>
      <c r="E195" s="827"/>
      <c r="F195" s="827"/>
      <c r="G195" s="827"/>
      <c r="H195" s="827"/>
    </row>
    <row r="196" spans="1:8" ht="15" customHeight="1" x14ac:dyDescent="0.25">
      <c r="A196" s="892"/>
      <c r="B196" s="827"/>
      <c r="C196" s="892"/>
      <c r="D196" s="892"/>
      <c r="E196" s="827"/>
      <c r="F196" s="827"/>
      <c r="G196" s="827"/>
      <c r="H196" s="827"/>
    </row>
    <row r="197" spans="1:8" ht="15" customHeight="1" x14ac:dyDescent="0.25">
      <c r="A197" s="892"/>
      <c r="B197" s="827"/>
      <c r="C197" s="892"/>
      <c r="D197" s="892"/>
      <c r="E197" s="827"/>
      <c r="F197" s="827"/>
      <c r="G197" s="827"/>
      <c r="H197" s="827"/>
    </row>
    <row r="198" spans="1:8" ht="15" customHeight="1" x14ac:dyDescent="0.25">
      <c r="A198" s="892"/>
      <c r="B198" s="827"/>
      <c r="C198" s="892"/>
      <c r="D198" s="892"/>
      <c r="E198" s="827"/>
      <c r="F198" s="827"/>
      <c r="G198" s="827"/>
      <c r="H198" s="827"/>
    </row>
    <row r="199" spans="1:8" ht="15" customHeight="1" x14ac:dyDescent="0.25">
      <c r="A199" s="892"/>
      <c r="B199" s="827"/>
      <c r="C199" s="892"/>
      <c r="D199" s="892"/>
      <c r="E199" s="827"/>
      <c r="F199" s="827"/>
      <c r="G199" s="827"/>
      <c r="H199" s="827"/>
    </row>
    <row r="200" spans="1:8" ht="15" customHeight="1" x14ac:dyDescent="0.25">
      <c r="A200" s="892"/>
      <c r="B200" s="827"/>
      <c r="C200" s="892"/>
      <c r="D200" s="892"/>
      <c r="E200" s="827"/>
      <c r="F200" s="827"/>
      <c r="G200" s="827"/>
      <c r="H200" s="827"/>
    </row>
  </sheetData>
  <mergeCells count="2">
    <mergeCell ref="A1:F1"/>
    <mergeCell ref="A2:F2"/>
  </mergeCells>
  <pageMargins left="0.7" right="0.7" top="0.75" bottom="0.75" header="0.3" footer="0.3"/>
  <pageSetup paperSize="9"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W440"/>
  <sheetViews>
    <sheetView showZeros="0" topLeftCell="A288" workbookViewId="0">
      <selection sqref="A1:T1"/>
    </sheetView>
  </sheetViews>
  <sheetFormatPr defaultRowHeight="15" x14ac:dyDescent="0.25"/>
  <cols>
    <col min="1" max="1" width="8" customWidth="1"/>
    <col min="2" max="2" width="29" customWidth="1"/>
    <col min="3" max="6" width="9.140625" customWidth="1"/>
    <col min="7" max="7" width="10.140625" customWidth="1"/>
    <col min="8" max="8" width="9.140625" customWidth="1"/>
    <col min="9" max="9" width="11" customWidth="1"/>
    <col min="10" max="10" width="12.42578125" customWidth="1"/>
    <col min="11" max="11" width="9.7109375" customWidth="1"/>
    <col min="12" max="12" width="10.85546875" customWidth="1"/>
    <col min="13" max="13" width="9.140625" customWidth="1"/>
    <col min="14" max="14" width="9.85546875" customWidth="1"/>
    <col min="15" max="15" width="11.28515625" customWidth="1"/>
    <col min="16" max="16" width="10.28515625" customWidth="1"/>
    <col min="17" max="17" width="8.5703125" customWidth="1"/>
    <col min="18" max="18" width="21" customWidth="1"/>
    <col min="19" max="19" width="14" customWidth="1"/>
    <col min="20" max="20" width="41.140625" customWidth="1"/>
    <col min="21" max="23" width="9.140625" customWidth="1"/>
  </cols>
  <sheetData>
    <row r="1" spans="1:23" ht="15.4" customHeight="1" x14ac:dyDescent="0.25">
      <c r="A1" s="1269" t="s">
        <v>870</v>
      </c>
      <c r="B1" s="1269"/>
      <c r="C1" s="1270">
        <f>THKP_TT16!F9/1000000000</f>
        <v>1.1435271830114</v>
      </c>
      <c r="D1" s="1270"/>
      <c r="E1" s="48" t="s">
        <v>58</v>
      </c>
      <c r="F1" s="48"/>
      <c r="G1" s="48"/>
      <c r="H1" s="48"/>
      <c r="I1" s="48"/>
      <c r="J1" s="48"/>
      <c r="K1" s="48"/>
      <c r="L1" s="48"/>
      <c r="M1" s="48"/>
      <c r="N1" s="48"/>
      <c r="O1" s="48"/>
      <c r="P1" s="48"/>
      <c r="Q1" s="48"/>
      <c r="R1" s="48"/>
      <c r="S1" s="48"/>
      <c r="T1" s="48"/>
      <c r="U1" s="48"/>
      <c r="V1" s="48"/>
      <c r="W1" s="48"/>
    </row>
    <row r="2" spans="1:23" ht="15.4" customHeight="1" x14ac:dyDescent="0.25">
      <c r="A2" s="1269" t="s">
        <v>241</v>
      </c>
      <c r="B2" s="1269"/>
      <c r="C2" s="1270">
        <f>THKP_TT16!F11/1000000000</f>
        <v>0</v>
      </c>
      <c r="D2" s="1270"/>
      <c r="E2" s="48" t="s">
        <v>58</v>
      </c>
      <c r="F2" s="48"/>
      <c r="G2" s="48"/>
      <c r="H2" s="48"/>
      <c r="I2" s="48"/>
      <c r="J2" s="48"/>
      <c r="K2" s="48"/>
      <c r="L2" s="48"/>
      <c r="M2" s="48"/>
      <c r="N2" s="48"/>
      <c r="O2" s="48"/>
      <c r="P2" s="48"/>
      <c r="Q2" s="48"/>
      <c r="R2" s="48"/>
      <c r="S2" s="48"/>
      <c r="T2" s="48"/>
      <c r="U2" s="48"/>
      <c r="V2" s="48"/>
      <c r="W2" s="48"/>
    </row>
    <row r="3" spans="1:23" ht="29.25" customHeight="1" x14ac:dyDescent="0.25">
      <c r="A3" s="1271" t="s">
        <v>1445</v>
      </c>
      <c r="B3" s="1271"/>
      <c r="C3" s="1270">
        <v>0</v>
      </c>
      <c r="D3" s="1270"/>
      <c r="E3" s="48" t="s">
        <v>58</v>
      </c>
      <c r="F3" s="48"/>
      <c r="G3" s="48"/>
      <c r="H3" s="48"/>
      <c r="I3" s="48"/>
      <c r="J3" s="48"/>
      <c r="K3" s="48"/>
      <c r="L3" s="48"/>
      <c r="M3" s="48"/>
      <c r="N3" s="48"/>
      <c r="O3" s="48"/>
      <c r="P3" s="48"/>
      <c r="Q3" s="48"/>
      <c r="R3" s="48"/>
      <c r="S3" s="48"/>
      <c r="T3" s="48"/>
      <c r="U3" s="48"/>
      <c r="V3" s="48"/>
      <c r="W3" s="48"/>
    </row>
    <row r="4" spans="1:23" ht="15.4" customHeight="1" x14ac:dyDescent="0.25">
      <c r="A4" s="1269" t="s">
        <v>102</v>
      </c>
      <c r="B4" s="1269"/>
      <c r="C4" s="1270">
        <v>0</v>
      </c>
      <c r="D4" s="1270"/>
      <c r="E4" s="48" t="s">
        <v>58</v>
      </c>
      <c r="F4" s="48"/>
      <c r="G4" s="48"/>
      <c r="H4" s="48"/>
      <c r="I4" s="48"/>
      <c r="J4" s="48"/>
      <c r="K4" s="48"/>
      <c r="L4" s="48"/>
      <c r="M4" s="48"/>
      <c r="N4" s="48"/>
      <c r="O4" s="48"/>
      <c r="P4" s="48"/>
      <c r="Q4" s="48"/>
      <c r="R4" s="48"/>
      <c r="S4" s="48"/>
      <c r="T4" s="48"/>
      <c r="U4" s="48"/>
      <c r="V4" s="48"/>
      <c r="W4" s="48"/>
    </row>
    <row r="5" spans="1:23" ht="16.350000000000001" customHeight="1" x14ac:dyDescent="0.25">
      <c r="A5" s="1271" t="s">
        <v>293</v>
      </c>
      <c r="B5" s="1271"/>
      <c r="C5" s="1270">
        <v>0</v>
      </c>
      <c r="D5" s="1270"/>
      <c r="E5" s="48" t="s">
        <v>58</v>
      </c>
      <c r="F5" s="48"/>
      <c r="G5" s="48"/>
      <c r="H5" s="48"/>
      <c r="I5" s="48"/>
      <c r="J5" s="48"/>
      <c r="K5" s="48"/>
      <c r="L5" s="48"/>
      <c r="M5" s="48"/>
      <c r="N5" s="48"/>
      <c r="O5" s="48"/>
      <c r="P5" s="48"/>
      <c r="Q5" s="48"/>
      <c r="R5" s="48"/>
      <c r="S5" s="48"/>
      <c r="T5" s="48"/>
      <c r="U5" s="48"/>
      <c r="V5" s="48"/>
      <c r="W5" s="48"/>
    </row>
    <row r="6" spans="1:23" ht="16.350000000000001" customHeight="1" x14ac:dyDescent="0.25">
      <c r="A6" s="1271" t="s">
        <v>1001</v>
      </c>
      <c r="B6" s="1271"/>
      <c r="C6" s="1270">
        <f>C1+C2+C3+C4+C5</f>
        <v>1.1435271830114</v>
      </c>
      <c r="D6" s="1270"/>
      <c r="E6" s="48" t="s">
        <v>58</v>
      </c>
      <c r="F6" s="48"/>
      <c r="G6" s="48"/>
      <c r="H6" s="48"/>
      <c r="I6" s="48"/>
      <c r="J6" s="48"/>
      <c r="K6" s="48"/>
      <c r="L6" s="48"/>
      <c r="M6" s="48"/>
      <c r="N6" s="48"/>
      <c r="O6" s="48"/>
      <c r="P6" s="48"/>
      <c r="Q6" s="48"/>
      <c r="R6" s="48"/>
      <c r="S6" s="48"/>
      <c r="T6" s="48"/>
      <c r="U6" s="48"/>
      <c r="V6" s="48"/>
      <c r="W6" s="48"/>
    </row>
    <row r="7" spans="1:23" ht="30" customHeight="1" x14ac:dyDescent="0.25">
      <c r="A7" s="1271" t="s">
        <v>421</v>
      </c>
      <c r="B7" s="1271"/>
      <c r="C7" s="1270">
        <f>C1+C2+C4+C5</f>
        <v>1.1435271830114</v>
      </c>
      <c r="D7" s="1270"/>
      <c r="E7" s="48" t="s">
        <v>58</v>
      </c>
      <c r="F7" s="48"/>
      <c r="G7" s="48"/>
      <c r="H7" s="48"/>
      <c r="I7" s="48"/>
      <c r="J7" s="48"/>
      <c r="K7" s="48"/>
      <c r="L7" s="48"/>
      <c r="M7" s="48"/>
      <c r="N7" s="48"/>
      <c r="O7" s="48"/>
      <c r="P7" s="48"/>
      <c r="Q7" s="48"/>
      <c r="R7" s="48"/>
      <c r="S7" s="48"/>
      <c r="T7" s="48"/>
      <c r="U7" s="48"/>
      <c r="V7" s="48"/>
      <c r="W7" s="48"/>
    </row>
    <row r="8" spans="1:23" ht="15.4" customHeight="1" x14ac:dyDescent="0.25">
      <c r="A8" s="1269" t="s">
        <v>1053</v>
      </c>
      <c r="B8" s="1269"/>
      <c r="C8" s="1270">
        <v>0</v>
      </c>
      <c r="D8" s="1270"/>
      <c r="E8" s="48" t="s">
        <v>58</v>
      </c>
      <c r="F8" s="48"/>
      <c r="G8" s="48"/>
      <c r="H8" s="48"/>
      <c r="I8" s="48"/>
      <c r="J8" s="48"/>
      <c r="K8" s="48"/>
      <c r="L8" s="48"/>
      <c r="M8" s="48"/>
      <c r="N8" s="48"/>
      <c r="O8" s="48"/>
      <c r="P8" s="48"/>
      <c r="Q8" s="48"/>
      <c r="R8" s="48"/>
      <c r="S8" s="48"/>
      <c r="T8" s="48"/>
      <c r="U8" s="48"/>
      <c r="V8" s="48"/>
      <c r="W8" s="48"/>
    </row>
    <row r="9" spans="1:23" ht="15.4" customHeight="1" x14ac:dyDescent="0.25">
      <c r="A9" s="48"/>
      <c r="B9" s="48"/>
      <c r="C9" s="48"/>
      <c r="D9" s="48"/>
      <c r="E9" s="48"/>
      <c r="F9" s="48"/>
      <c r="G9" s="48"/>
      <c r="H9" s="48"/>
      <c r="I9" s="48"/>
      <c r="J9" s="48"/>
      <c r="K9" s="48"/>
      <c r="L9" s="48"/>
      <c r="M9" s="48"/>
      <c r="N9" s="48"/>
      <c r="O9" s="48"/>
      <c r="P9" s="48"/>
      <c r="Q9" s="48"/>
      <c r="R9" s="48"/>
      <c r="S9" s="48"/>
      <c r="T9" s="48"/>
      <c r="U9" s="48"/>
      <c r="V9" s="48"/>
      <c r="W9" s="48"/>
    </row>
    <row r="10" spans="1:23" ht="12.75" hidden="1" customHeight="1" x14ac:dyDescent="0.25">
      <c r="A10" s="48" t="s">
        <v>917</v>
      </c>
      <c r="B10" s="48"/>
      <c r="C10" s="48"/>
      <c r="D10" s="48"/>
      <c r="E10" s="48"/>
      <c r="F10" s="48"/>
      <c r="G10" s="48"/>
      <c r="H10" s="48"/>
      <c r="I10" s="48"/>
      <c r="J10" s="48"/>
      <c r="K10" s="48"/>
      <c r="L10" s="48"/>
      <c r="M10" s="48"/>
      <c r="N10" s="48"/>
      <c r="O10" s="48"/>
      <c r="P10" s="48"/>
      <c r="Q10" s="48"/>
      <c r="R10" s="48"/>
      <c r="S10" s="48"/>
      <c r="T10" s="48"/>
      <c r="U10" s="48"/>
      <c r="V10" s="48"/>
      <c r="W10" s="48"/>
    </row>
    <row r="11" spans="1:23" ht="15.4" customHeight="1" x14ac:dyDescent="0.25">
      <c r="A11" s="1133" t="s">
        <v>835</v>
      </c>
      <c r="B11" s="1133"/>
      <c r="C11" s="1133"/>
      <c r="D11" s="1133"/>
      <c r="E11" s="1133"/>
      <c r="F11" s="1133"/>
      <c r="G11" s="1133"/>
      <c r="H11" s="1133"/>
      <c r="I11" s="1133"/>
      <c r="J11" s="1133"/>
      <c r="K11" s="1133"/>
      <c r="L11" s="1133"/>
      <c r="M11" s="1133"/>
      <c r="N11" s="1133"/>
      <c r="O11" s="48"/>
      <c r="P11" s="48"/>
      <c r="Q11" s="48"/>
      <c r="R11" s="48"/>
      <c r="S11" s="48"/>
      <c r="T11" s="48"/>
      <c r="U11" s="48"/>
      <c r="V11" s="48"/>
      <c r="W11" s="48"/>
    </row>
    <row r="12" spans="1:23" ht="15.4" customHeight="1" x14ac:dyDescent="0.25">
      <c r="A12" s="1133" t="s">
        <v>488</v>
      </c>
      <c r="B12" s="1133"/>
      <c r="C12" s="1133"/>
      <c r="D12" s="1133"/>
      <c r="E12" s="1133"/>
      <c r="F12" s="1133"/>
      <c r="G12" s="1133"/>
      <c r="H12" s="1133"/>
      <c r="I12" s="1133"/>
      <c r="J12" s="1133"/>
      <c r="K12" s="1133"/>
      <c r="L12" s="1133"/>
      <c r="M12" s="1133"/>
      <c r="N12" s="1133"/>
      <c r="O12" s="48"/>
      <c r="P12" s="48"/>
      <c r="Q12" s="48"/>
      <c r="R12" s="48"/>
      <c r="S12" s="48"/>
      <c r="T12" s="48"/>
      <c r="U12" s="48"/>
      <c r="V12" s="48"/>
      <c r="W12" s="48"/>
    </row>
    <row r="13" spans="1:23" ht="15.4" customHeight="1" x14ac:dyDescent="0.25">
      <c r="A13" s="158"/>
      <c r="B13" s="158"/>
      <c r="C13" s="158"/>
      <c r="D13" s="158"/>
      <c r="E13" s="158"/>
      <c r="F13" s="158"/>
      <c r="G13" s="158"/>
      <c r="H13" s="158"/>
      <c r="I13" s="158"/>
      <c r="J13" s="158"/>
      <c r="K13" s="158"/>
      <c r="L13" s="158"/>
      <c r="M13" s="158"/>
      <c r="N13" s="158"/>
      <c r="O13" s="48"/>
      <c r="P13" s="48"/>
      <c r="Q13" s="48"/>
      <c r="R13" s="48"/>
      <c r="S13" s="48"/>
      <c r="T13" s="48"/>
      <c r="U13" s="48"/>
      <c r="V13" s="48"/>
      <c r="W13" s="48"/>
    </row>
    <row r="14" spans="1:23" ht="15.4" customHeight="1" x14ac:dyDescent="0.25">
      <c r="A14" s="1272" t="s">
        <v>671</v>
      </c>
      <c r="B14" s="1272"/>
      <c r="C14" s="1272"/>
      <c r="D14" s="1272"/>
      <c r="E14" s="1272"/>
      <c r="F14" s="1272"/>
      <c r="G14" s="1272"/>
      <c r="H14" s="1272"/>
      <c r="I14" s="1272"/>
      <c r="J14" s="1272"/>
      <c r="K14" s="1272"/>
      <c r="L14" s="1272"/>
      <c r="M14" s="1272"/>
      <c r="N14" s="48"/>
      <c r="O14" s="48"/>
      <c r="P14" s="48"/>
      <c r="Q14" s="48"/>
      <c r="R14" s="48"/>
      <c r="S14" s="48"/>
      <c r="T14" s="48"/>
      <c r="U14" s="48"/>
      <c r="V14" s="48"/>
      <c r="W14" s="48"/>
    </row>
    <row r="15" spans="1:23" ht="12.75" hidden="1" customHeight="1" x14ac:dyDescent="0.25">
      <c r="A15" s="48" t="s">
        <v>493</v>
      </c>
      <c r="B15" s="48"/>
      <c r="C15" s="48"/>
      <c r="D15" s="48"/>
      <c r="E15" s="48"/>
      <c r="F15" s="48"/>
      <c r="G15" s="48"/>
      <c r="H15" s="48"/>
      <c r="I15" s="48"/>
      <c r="J15" s="48"/>
      <c r="K15" s="817"/>
      <c r="L15" s="48" t="s">
        <v>1080</v>
      </c>
      <c r="M15" s="817"/>
      <c r="N15" s="48"/>
      <c r="O15" s="48"/>
      <c r="P15" s="48"/>
      <c r="Q15" s="48"/>
      <c r="R15" s="48"/>
      <c r="S15" s="48"/>
      <c r="T15" s="48"/>
      <c r="U15" s="48"/>
      <c r="V15" s="48"/>
      <c r="W15" s="48"/>
    </row>
    <row r="16" spans="1:23" ht="15.4" customHeight="1" x14ac:dyDescent="0.25">
      <c r="A16" s="48"/>
      <c r="B16" s="48"/>
      <c r="C16" s="48"/>
      <c r="D16" s="48"/>
      <c r="E16" s="48"/>
      <c r="F16" s="48"/>
      <c r="G16" s="48"/>
      <c r="H16" s="48"/>
      <c r="I16" s="48"/>
      <c r="J16" s="48"/>
      <c r="K16" s="48"/>
      <c r="L16" s="48"/>
      <c r="M16" s="539" t="s">
        <v>823</v>
      </c>
      <c r="N16" s="178" t="s">
        <v>628</v>
      </c>
      <c r="O16" s="195" t="s">
        <v>298</v>
      </c>
      <c r="P16" s="48"/>
      <c r="Q16" s="48"/>
      <c r="R16" s="48"/>
      <c r="S16" s="48"/>
      <c r="T16" s="48"/>
      <c r="U16" s="48"/>
      <c r="V16" s="48"/>
      <c r="W16" s="48"/>
    </row>
    <row r="17" spans="1:23" ht="30.75" customHeight="1" x14ac:dyDescent="0.25">
      <c r="A17" s="50" t="s">
        <v>172</v>
      </c>
      <c r="B17" s="558" t="s">
        <v>1143</v>
      </c>
      <c r="C17" s="50" t="s">
        <v>106</v>
      </c>
      <c r="D17" s="50">
        <v>25</v>
      </c>
      <c r="E17" s="50">
        <v>50</v>
      </c>
      <c r="F17" s="50">
        <v>100</v>
      </c>
      <c r="G17" s="50">
        <v>200</v>
      </c>
      <c r="H17" s="50">
        <v>500</v>
      </c>
      <c r="I17" s="50">
        <v>1000</v>
      </c>
      <c r="J17" s="50">
        <v>2000</v>
      </c>
      <c r="K17" s="50">
        <v>5000</v>
      </c>
      <c r="L17" s="142">
        <v>10000</v>
      </c>
      <c r="M17" s="315">
        <f>$C$6</f>
        <v>1.1435271830114</v>
      </c>
      <c r="N17" s="848">
        <f>IF(M17&lt;D17,15,IF(M17&gt;L17,L17,HLOOKUP(M17,D17:L17,1)))</f>
        <v>15</v>
      </c>
      <c r="O17" s="867">
        <f>IF(M17&lt;15,15,IF(M17&lt;25,25,IF(M17&gt;L17,L17,INDEX(D17:L17,MATCH(M17,D17:L17,1)+1))))</f>
        <v>15</v>
      </c>
      <c r="P17" s="48"/>
      <c r="Q17" s="48"/>
      <c r="R17" s="48"/>
      <c r="S17" s="48"/>
      <c r="T17" s="48"/>
      <c r="U17" s="48"/>
      <c r="V17" s="48"/>
      <c r="W17" s="48"/>
    </row>
    <row r="18" spans="1:23" ht="15.4" customHeight="1" x14ac:dyDescent="0.25">
      <c r="A18" s="612">
        <v>1</v>
      </c>
      <c r="B18" s="426" t="s">
        <v>1207</v>
      </c>
      <c r="C18" s="452">
        <v>1.9E-2</v>
      </c>
      <c r="D18" s="452">
        <v>1.7000000000000001E-2</v>
      </c>
      <c r="E18" s="452">
        <v>1.4999999999999999E-2</v>
      </c>
      <c r="F18" s="452">
        <v>1.2500000000000001E-2</v>
      </c>
      <c r="G18" s="452">
        <v>0.01</v>
      </c>
      <c r="H18" s="452">
        <v>7.4999999999999997E-3</v>
      </c>
      <c r="I18" s="452">
        <v>4.7000000000000002E-3</v>
      </c>
      <c r="J18" s="452">
        <v>2.5000000000000001E-3</v>
      </c>
      <c r="K18" s="452">
        <v>2E-3</v>
      </c>
      <c r="L18" s="452">
        <v>1E-3</v>
      </c>
      <c r="M18" s="903">
        <f>IF(O$17=N$17,N18,ROUND(N18-((N18-O18)/(O$17-N$17))*(M$17-N$17),3))</f>
        <v>1.9E-2</v>
      </c>
      <c r="N18" s="560">
        <f>IF(N$17=15,C18,HLOOKUP($N$17,$D$17:$L$18,2,TRUE))</f>
        <v>1.9E-2</v>
      </c>
      <c r="O18" s="36">
        <f>IF(O$17=15,C18,HLOOKUP($O$17,$D$17:$L$18,2,TRUE))</f>
        <v>1.9E-2</v>
      </c>
      <c r="P18" s="48"/>
      <c r="Q18" s="48"/>
      <c r="R18" s="48"/>
      <c r="S18" s="48"/>
      <c r="T18" s="48"/>
      <c r="U18" s="48"/>
      <c r="V18" s="48"/>
      <c r="W18" s="48"/>
    </row>
    <row r="19" spans="1:23" ht="12.75" hidden="1" customHeight="1" x14ac:dyDescent="0.25">
      <c r="A19" s="48" t="s">
        <v>520</v>
      </c>
      <c r="B19" s="48"/>
      <c r="C19" s="48"/>
      <c r="D19" s="48"/>
      <c r="E19" s="48"/>
      <c r="F19" s="48"/>
      <c r="G19" s="48"/>
      <c r="H19" s="48"/>
      <c r="I19" s="48"/>
      <c r="J19" s="48"/>
      <c r="K19" s="48"/>
      <c r="L19" s="48"/>
      <c r="M19" s="48"/>
      <c r="N19" s="48"/>
      <c r="O19" s="48"/>
      <c r="P19" s="48"/>
      <c r="Q19" s="48"/>
      <c r="R19" s="48"/>
      <c r="S19" s="48"/>
      <c r="T19" s="48"/>
      <c r="U19" s="48"/>
      <c r="V19" s="48"/>
      <c r="W19" s="48"/>
    </row>
    <row r="20" spans="1:23" ht="15.4" customHeight="1" x14ac:dyDescent="0.25">
      <c r="A20" s="48"/>
      <c r="B20" s="48"/>
      <c r="C20" s="48"/>
      <c r="D20" s="48"/>
      <c r="E20" s="48"/>
      <c r="F20" s="48"/>
      <c r="G20" s="48"/>
      <c r="H20" s="48"/>
      <c r="I20" s="48"/>
      <c r="J20" s="48"/>
      <c r="K20" s="48"/>
      <c r="L20" s="48"/>
      <c r="M20" s="48"/>
      <c r="N20" s="48"/>
      <c r="O20" s="48"/>
      <c r="P20" s="48"/>
      <c r="Q20" s="48"/>
      <c r="R20" s="48"/>
      <c r="S20" s="48"/>
      <c r="T20" s="48"/>
      <c r="U20" s="48"/>
      <c r="V20" s="48"/>
      <c r="W20" s="48"/>
    </row>
    <row r="21" spans="1:23" ht="15.4" customHeight="1" x14ac:dyDescent="0.25">
      <c r="A21" s="1133" t="s">
        <v>1399</v>
      </c>
      <c r="B21" s="1133"/>
      <c r="C21" s="1133"/>
      <c r="D21" s="1133"/>
      <c r="E21" s="1133"/>
      <c r="F21" s="1133"/>
      <c r="G21" s="1133"/>
      <c r="H21" s="1133"/>
      <c r="I21" s="1133"/>
      <c r="J21" s="1133"/>
      <c r="K21" s="1133"/>
      <c r="L21" s="1133"/>
      <c r="M21" s="1133"/>
      <c r="N21" s="1133"/>
      <c r="O21" s="48"/>
      <c r="P21" s="48"/>
      <c r="Q21" s="48"/>
      <c r="R21" s="48"/>
      <c r="S21" s="48"/>
      <c r="T21" s="48"/>
      <c r="U21" s="48"/>
      <c r="V21" s="48"/>
      <c r="W21" s="48"/>
    </row>
    <row r="22" spans="1:23" ht="15.4" customHeight="1" x14ac:dyDescent="0.25">
      <c r="A22" s="1133" t="s">
        <v>1213</v>
      </c>
      <c r="B22" s="1133"/>
      <c r="C22" s="1133"/>
      <c r="D22" s="1133"/>
      <c r="E22" s="1133"/>
      <c r="F22" s="1133"/>
      <c r="G22" s="1133"/>
      <c r="H22" s="1133"/>
      <c r="I22" s="1133"/>
      <c r="J22" s="1133"/>
      <c r="K22" s="1133"/>
      <c r="L22" s="1133"/>
      <c r="M22" s="1133"/>
      <c r="N22" s="1133"/>
      <c r="O22" s="48"/>
      <c r="P22" s="48"/>
      <c r="Q22" s="48"/>
      <c r="R22" s="48"/>
      <c r="S22" s="48"/>
      <c r="T22" s="48"/>
      <c r="U22" s="48"/>
      <c r="V22" s="48"/>
      <c r="W22" s="48"/>
    </row>
    <row r="23" spans="1:23" ht="15.4"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row>
    <row r="24" spans="1:23" ht="15.4" customHeight="1" x14ac:dyDescent="0.25">
      <c r="A24" s="1272" t="s">
        <v>1016</v>
      </c>
      <c r="B24" s="1272"/>
      <c r="C24" s="1272"/>
      <c r="D24" s="1272"/>
      <c r="E24" s="1272"/>
      <c r="F24" s="1272"/>
      <c r="G24" s="1272"/>
      <c r="H24" s="1272"/>
      <c r="I24" s="1272"/>
      <c r="J24" s="1272"/>
      <c r="K24" s="1272"/>
      <c r="L24" s="1272"/>
      <c r="M24" s="1272"/>
      <c r="N24" s="48"/>
      <c r="O24" s="48"/>
      <c r="P24" s="48"/>
      <c r="Q24" s="48"/>
      <c r="R24" s="48"/>
      <c r="S24" s="48"/>
      <c r="T24" s="48"/>
      <c r="U24" s="48"/>
      <c r="V24" s="48"/>
      <c r="W24" s="48"/>
    </row>
    <row r="25" spans="1:23" ht="12.75" hidden="1" customHeight="1" x14ac:dyDescent="0.25">
      <c r="A25" s="48" t="s">
        <v>329</v>
      </c>
      <c r="B25" s="48"/>
      <c r="C25" s="48"/>
      <c r="D25" s="48"/>
      <c r="E25" s="48"/>
      <c r="F25" s="48"/>
      <c r="G25" s="48"/>
      <c r="H25" s="48"/>
      <c r="I25" s="48" t="s">
        <v>1080</v>
      </c>
      <c r="J25" s="48"/>
      <c r="K25" s="817"/>
      <c r="L25" s="48"/>
      <c r="M25" s="817"/>
      <c r="N25" s="48"/>
      <c r="O25" s="48"/>
      <c r="P25" s="48"/>
      <c r="Q25" s="48"/>
      <c r="R25" s="48"/>
      <c r="S25" s="48"/>
      <c r="T25" s="48"/>
      <c r="U25" s="48"/>
      <c r="V25" s="48"/>
      <c r="W25" s="48"/>
    </row>
    <row r="26" spans="1:23" ht="15.4" customHeight="1" x14ac:dyDescent="0.25">
      <c r="A26" s="48"/>
      <c r="B26" s="48"/>
      <c r="C26" s="48"/>
      <c r="D26" s="48"/>
      <c r="E26" s="48"/>
      <c r="F26" s="48"/>
      <c r="G26" s="48"/>
      <c r="H26" s="48"/>
      <c r="I26" s="48"/>
      <c r="J26" s="539" t="s">
        <v>823</v>
      </c>
      <c r="K26" s="178" t="s">
        <v>628</v>
      </c>
      <c r="L26" s="195" t="s">
        <v>298</v>
      </c>
      <c r="M26" s="48"/>
      <c r="N26" s="48"/>
      <c r="O26" s="48"/>
      <c r="P26" s="48"/>
      <c r="Q26" s="48"/>
      <c r="R26" s="48"/>
      <c r="S26" s="48"/>
      <c r="T26" s="48"/>
      <c r="U26" s="48"/>
      <c r="V26" s="48"/>
      <c r="W26" s="48"/>
    </row>
    <row r="27" spans="1:23" ht="30.75" customHeight="1" x14ac:dyDescent="0.25">
      <c r="A27" s="50" t="s">
        <v>172</v>
      </c>
      <c r="B27" s="558" t="s">
        <v>351</v>
      </c>
      <c r="C27" s="50" t="s">
        <v>435</v>
      </c>
      <c r="D27" s="50">
        <v>10</v>
      </c>
      <c r="E27" s="50">
        <v>50</v>
      </c>
      <c r="F27" s="50">
        <v>100</v>
      </c>
      <c r="G27" s="50">
        <v>500</v>
      </c>
      <c r="H27" s="50">
        <v>1000</v>
      </c>
      <c r="I27" s="142">
        <v>10000</v>
      </c>
      <c r="J27" s="315">
        <f>$C$6</f>
        <v>1.1435271830114</v>
      </c>
      <c r="K27" s="848">
        <f>IF(J27&lt;D27,5,IF(J27&gt;I27,I27,HLOOKUP(J27,D27:I27,1)))</f>
        <v>5</v>
      </c>
      <c r="L27" s="867">
        <f>IF(J27&lt;5,5,IF(J27&lt;10,10,IF(J27&gt;I27,I27,INDEX(D27:I27,MATCH(J27,D27:I27,1)+1))))</f>
        <v>5</v>
      </c>
      <c r="M27" s="691"/>
      <c r="N27" s="518"/>
      <c r="O27" s="48"/>
      <c r="P27" s="48"/>
      <c r="Q27" s="48"/>
      <c r="R27" s="48"/>
      <c r="S27" s="48"/>
      <c r="T27" s="48"/>
      <c r="U27" s="48"/>
      <c r="V27" s="48"/>
      <c r="W27" s="48"/>
    </row>
    <row r="28" spans="1:23" ht="15.4" customHeight="1" x14ac:dyDescent="0.25">
      <c r="A28" s="612">
        <v>1</v>
      </c>
      <c r="B28" s="426" t="s">
        <v>446</v>
      </c>
      <c r="C28" s="56">
        <v>0.38</v>
      </c>
      <c r="D28" s="56">
        <v>0.26</v>
      </c>
      <c r="E28" s="56">
        <v>0.19</v>
      </c>
      <c r="F28" s="56">
        <v>0.15</v>
      </c>
      <c r="G28" s="56">
        <v>0.09</v>
      </c>
      <c r="H28" s="56">
        <v>0.06</v>
      </c>
      <c r="I28" s="56">
        <v>3.2000000000000001E-2</v>
      </c>
      <c r="J28" s="903">
        <f>IF(L$27=K$27,K28,ROUND(K28-((K28-L28)/(L$27-K$27))*(J$27-K$27),3))</f>
        <v>0.38</v>
      </c>
      <c r="K28" s="560">
        <f>IF(K$27=5,C28,HLOOKUP($K$27,$D$27:$I$28,2,TRUE))</f>
        <v>0.38</v>
      </c>
      <c r="L28" s="36">
        <f>IF(L$27=5,C28,HLOOKUP($L$27,$D$27:$I$28,2,TRUE))</f>
        <v>0.38</v>
      </c>
      <c r="M28" s="434"/>
      <c r="N28" s="434"/>
      <c r="O28" s="48"/>
      <c r="P28" s="48"/>
      <c r="Q28" s="48"/>
      <c r="R28" s="48"/>
      <c r="S28" s="48"/>
      <c r="T28" s="48"/>
      <c r="U28" s="48"/>
      <c r="V28" s="48"/>
      <c r="W28" s="48"/>
    </row>
    <row r="29" spans="1:23" ht="12.75" hidden="1" customHeight="1" x14ac:dyDescent="0.25">
      <c r="A29" s="228" t="s">
        <v>1430</v>
      </c>
      <c r="B29" s="48"/>
      <c r="C29" s="48"/>
      <c r="D29" s="48"/>
      <c r="E29" s="48"/>
      <c r="F29" s="48"/>
      <c r="G29" s="48"/>
      <c r="H29" s="48"/>
      <c r="I29" s="48"/>
      <c r="J29" s="48"/>
      <c r="K29" s="48"/>
      <c r="L29" s="48"/>
      <c r="M29" s="48"/>
      <c r="N29" s="48"/>
      <c r="O29" s="48"/>
      <c r="P29" s="48"/>
      <c r="Q29" s="48"/>
      <c r="R29" s="48"/>
      <c r="S29" s="48"/>
      <c r="T29" s="48"/>
      <c r="U29" s="48"/>
      <c r="V29" s="48"/>
      <c r="W29" s="48"/>
    </row>
    <row r="30" spans="1:23" ht="15.4"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row>
    <row r="31" spans="1:23" ht="15.4" customHeight="1" x14ac:dyDescent="0.25">
      <c r="A31" s="1272" t="s">
        <v>78</v>
      </c>
      <c r="B31" s="1272"/>
      <c r="C31" s="1272"/>
      <c r="D31" s="1272"/>
      <c r="E31" s="1272"/>
      <c r="F31" s="1272"/>
      <c r="G31" s="1272"/>
      <c r="H31" s="1272"/>
      <c r="I31" s="1272"/>
      <c r="J31" s="1272"/>
      <c r="K31" s="1272"/>
      <c r="L31" s="1272"/>
      <c r="M31" s="1272"/>
      <c r="N31" s="48"/>
      <c r="O31" s="48"/>
      <c r="P31" s="48"/>
      <c r="Q31" s="48"/>
      <c r="R31" s="48"/>
      <c r="S31" s="48"/>
      <c r="T31" s="48"/>
      <c r="U31" s="48"/>
      <c r="V31" s="48"/>
      <c r="W31" s="48"/>
    </row>
    <row r="32" spans="1:23" ht="12.75" hidden="1" customHeight="1" x14ac:dyDescent="0.25">
      <c r="A32" s="48" t="s">
        <v>198</v>
      </c>
      <c r="B32" s="48"/>
      <c r="C32" s="48"/>
      <c r="D32" s="48"/>
      <c r="E32" s="48"/>
      <c r="F32" s="48"/>
      <c r="G32" s="48"/>
      <c r="H32" s="48"/>
      <c r="I32" s="48" t="s">
        <v>1080</v>
      </c>
      <c r="J32" s="48"/>
      <c r="K32" s="817"/>
      <c r="L32" s="48"/>
      <c r="M32" s="817"/>
      <c r="N32" s="48"/>
      <c r="O32" s="48"/>
      <c r="P32" s="48"/>
      <c r="Q32" s="48"/>
      <c r="R32" s="48"/>
      <c r="S32" s="48"/>
      <c r="T32" s="48"/>
      <c r="U32" s="48"/>
      <c r="V32" s="48"/>
      <c r="W32" s="48"/>
    </row>
    <row r="33" spans="1:23" ht="15.4" customHeight="1" x14ac:dyDescent="0.25">
      <c r="A33" s="48"/>
      <c r="B33" s="48"/>
      <c r="C33" s="48"/>
      <c r="D33" s="48"/>
      <c r="E33" s="48"/>
      <c r="F33" s="48"/>
      <c r="G33" s="48"/>
      <c r="H33" s="48"/>
      <c r="I33" s="48"/>
      <c r="J33" s="539" t="s">
        <v>823</v>
      </c>
      <c r="K33" s="178" t="s">
        <v>628</v>
      </c>
      <c r="L33" s="195" t="s">
        <v>298</v>
      </c>
      <c r="M33" s="48"/>
      <c r="N33" s="48"/>
      <c r="O33" s="48"/>
      <c r="P33" s="48"/>
      <c r="Q33" s="48"/>
      <c r="R33" s="48"/>
      <c r="S33" s="48"/>
      <c r="T33" s="48"/>
      <c r="U33" s="48"/>
      <c r="V33" s="48"/>
      <c r="W33" s="48"/>
    </row>
    <row r="34" spans="1:23" ht="30.75" customHeight="1" x14ac:dyDescent="0.25">
      <c r="A34" s="50" t="s">
        <v>172</v>
      </c>
      <c r="B34" s="558" t="s">
        <v>351</v>
      </c>
      <c r="C34" s="50" t="s">
        <v>435</v>
      </c>
      <c r="D34" s="50">
        <v>10</v>
      </c>
      <c r="E34" s="50">
        <v>50</v>
      </c>
      <c r="F34" s="50">
        <v>100</v>
      </c>
      <c r="G34" s="50">
        <v>500</v>
      </c>
      <c r="H34" s="50">
        <v>1000</v>
      </c>
      <c r="I34" s="142">
        <v>10000</v>
      </c>
      <c r="J34" s="315">
        <f>$C$6</f>
        <v>1.1435271830114</v>
      </c>
      <c r="K34" s="848">
        <f>IF(J34&lt;D34,5,IF(J34&gt;I34,I34,HLOOKUP(J34,D34:I34,1)))</f>
        <v>5</v>
      </c>
      <c r="L34" s="867">
        <f>IF(J34&lt;5,5,IF(J34&lt;10,10,IF(J34&gt;I34,I34,INDEX(D34:I34,MATCH(J34,D34:I34,1)+1))))</f>
        <v>5</v>
      </c>
      <c r="M34" s="691"/>
      <c r="N34" s="518"/>
      <c r="O34" s="48"/>
      <c r="P34" s="48"/>
      <c r="Q34" s="48"/>
      <c r="R34" s="48"/>
      <c r="S34" s="48"/>
      <c r="T34" s="48"/>
      <c r="U34" s="48"/>
      <c r="V34" s="48"/>
      <c r="W34" s="48"/>
    </row>
    <row r="35" spans="1:23" ht="15.4" customHeight="1" x14ac:dyDescent="0.25">
      <c r="A35" s="612">
        <v>1</v>
      </c>
      <c r="B35" s="426" t="s">
        <v>664</v>
      </c>
      <c r="C35" s="56">
        <v>0.64</v>
      </c>
      <c r="D35" s="56">
        <v>0.43</v>
      </c>
      <c r="E35" s="56">
        <v>0.3</v>
      </c>
      <c r="F35" s="56">
        <v>0.23</v>
      </c>
      <c r="G35" s="56">
        <v>0.13</v>
      </c>
      <c r="H35" s="56">
        <v>8.5999999999999993E-2</v>
      </c>
      <c r="I35" s="56">
        <v>4.5999999999999999E-2</v>
      </c>
      <c r="J35" s="903">
        <f>IF(L$34=K$34,K35,ROUND(K35-((K35-L35)/(L$34-K$34))*(J$34-K$34),3))</f>
        <v>0.64</v>
      </c>
      <c r="K35" s="560">
        <f>IF(K$34=5,C35,HLOOKUP($K$34,$D$34:$I$35,2,TRUE))</f>
        <v>0.64</v>
      </c>
      <c r="L35" s="36">
        <f>IF(L$34=5,C35,HLOOKUP($L$34,$D$34:$I$35,2,TRUE))</f>
        <v>0.64</v>
      </c>
      <c r="M35" s="48"/>
      <c r="N35" s="48"/>
      <c r="O35" s="48"/>
      <c r="P35" s="48"/>
      <c r="Q35" s="48"/>
      <c r="R35" s="48"/>
      <c r="S35" s="48"/>
      <c r="T35" s="48"/>
      <c r="U35" s="48"/>
      <c r="V35" s="48"/>
      <c r="W35" s="48"/>
    </row>
    <row r="36" spans="1:23" ht="12.75" hidden="1" customHeight="1" x14ac:dyDescent="0.25">
      <c r="A36" s="228" t="s">
        <v>231</v>
      </c>
      <c r="B36" s="48"/>
      <c r="C36" s="48"/>
      <c r="D36" s="48"/>
      <c r="E36" s="48"/>
      <c r="F36" s="48"/>
      <c r="G36" s="48"/>
      <c r="H36" s="48"/>
      <c r="I36" s="48"/>
      <c r="J36" s="48"/>
      <c r="K36" s="48"/>
      <c r="L36" s="48"/>
      <c r="M36" s="48"/>
      <c r="N36" s="48"/>
      <c r="O36" s="48"/>
      <c r="P36" s="48"/>
      <c r="Q36" s="48"/>
      <c r="R36" s="48"/>
      <c r="S36" s="48"/>
      <c r="T36" s="48"/>
      <c r="U36" s="48"/>
      <c r="V36" s="48"/>
      <c r="W36" s="48"/>
    </row>
    <row r="37" spans="1:23" ht="15.4"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row>
    <row r="38" spans="1:23" ht="15.4" customHeight="1" x14ac:dyDescent="0.25">
      <c r="A38" s="1133" t="s">
        <v>295</v>
      </c>
      <c r="B38" s="1133"/>
      <c r="C38" s="1133"/>
      <c r="D38" s="1133"/>
      <c r="E38" s="1133"/>
      <c r="F38" s="1133"/>
      <c r="G38" s="1133"/>
      <c r="H38" s="1133"/>
      <c r="I38" s="1133"/>
      <c r="J38" s="1133"/>
      <c r="K38" s="1133"/>
      <c r="L38" s="1133"/>
      <c r="M38" s="1133"/>
      <c r="N38" s="1133"/>
      <c r="O38" s="48"/>
      <c r="P38" s="48"/>
      <c r="Q38" s="48"/>
      <c r="R38" s="48"/>
      <c r="S38" s="48"/>
      <c r="T38" s="48"/>
      <c r="U38" s="48"/>
      <c r="V38" s="48"/>
      <c r="W38" s="48"/>
    </row>
    <row r="39" spans="1:23" ht="15.4" customHeight="1" x14ac:dyDescent="0.25">
      <c r="A39" s="1133" t="s">
        <v>1427</v>
      </c>
      <c r="B39" s="1133"/>
      <c r="C39" s="1133"/>
      <c r="D39" s="1133"/>
      <c r="E39" s="1133"/>
      <c r="F39" s="1133"/>
      <c r="G39" s="1133"/>
      <c r="H39" s="1133"/>
      <c r="I39" s="1133"/>
      <c r="J39" s="1133"/>
      <c r="K39" s="1133"/>
      <c r="L39" s="1133"/>
      <c r="M39" s="1133"/>
      <c r="N39" s="1133"/>
      <c r="O39" s="48"/>
      <c r="P39" s="48"/>
      <c r="Q39" s="48"/>
      <c r="R39" s="48"/>
      <c r="S39" s="48"/>
      <c r="T39" s="48"/>
      <c r="U39" s="48"/>
      <c r="V39" s="48"/>
      <c r="W39" s="48"/>
    </row>
    <row r="40" spans="1:23" ht="15.4"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row>
    <row r="41" spans="1:23" ht="15.4" customHeight="1" x14ac:dyDescent="0.25">
      <c r="A41" s="1272"/>
      <c r="B41" s="1272"/>
      <c r="C41" s="1272"/>
      <c r="D41" s="1272"/>
      <c r="E41" s="1272"/>
      <c r="F41" s="1272"/>
      <c r="G41" s="1272"/>
      <c r="H41" s="1272"/>
      <c r="I41" s="1272"/>
      <c r="J41" s="1272"/>
      <c r="K41" s="1272"/>
      <c r="L41" s="1272"/>
      <c r="M41" s="1272"/>
      <c r="N41" s="1272"/>
      <c r="O41" s="1272"/>
      <c r="P41" s="48"/>
      <c r="Q41" s="48"/>
      <c r="R41" s="48"/>
      <c r="S41" s="48"/>
      <c r="T41" s="48"/>
      <c r="U41" s="48"/>
      <c r="V41" s="48"/>
      <c r="W41" s="48"/>
    </row>
    <row r="42" spans="1:23" ht="15.4" customHeight="1" x14ac:dyDescent="0.25">
      <c r="A42" s="1272" t="s">
        <v>448</v>
      </c>
      <c r="B42" s="1272"/>
      <c r="C42" s="681"/>
      <c r="D42" s="681"/>
      <c r="E42" s="681"/>
      <c r="F42" s="681"/>
      <c r="G42" s="681"/>
      <c r="H42" s="681"/>
      <c r="I42" s="681"/>
      <c r="J42" s="681"/>
      <c r="K42" s="681"/>
      <c r="L42" s="681"/>
      <c r="M42" s="681"/>
      <c r="N42" s="681"/>
      <c r="O42" s="681"/>
      <c r="P42" s="48"/>
      <c r="Q42" s="48"/>
      <c r="R42" s="48"/>
      <c r="S42" s="48"/>
      <c r="T42" s="48"/>
      <c r="U42" s="48"/>
      <c r="V42" s="48"/>
      <c r="W42" s="48"/>
    </row>
    <row r="43" spans="1:23" ht="15.4" customHeight="1" x14ac:dyDescent="0.25">
      <c r="A43" s="48"/>
      <c r="B43" s="48"/>
      <c r="C43" s="48"/>
      <c r="D43" s="48"/>
      <c r="E43" s="48"/>
      <c r="F43" s="48"/>
      <c r="G43" s="48"/>
      <c r="H43" s="48"/>
      <c r="I43" s="1133" t="s">
        <v>681</v>
      </c>
      <c r="J43" s="1133"/>
      <c r="K43" s="1133"/>
      <c r="L43" s="1133"/>
      <c r="M43" s="817"/>
      <c r="N43" s="817"/>
      <c r="O43" s="48"/>
      <c r="P43" s="48"/>
      <c r="Q43" s="48"/>
      <c r="R43" s="48"/>
      <c r="S43" s="48"/>
      <c r="T43" s="48"/>
      <c r="U43" s="48"/>
      <c r="V43" s="48"/>
      <c r="W43" s="48"/>
    </row>
    <row r="44" spans="1:23" ht="12.75" hidden="1" customHeight="1" x14ac:dyDescent="0.25">
      <c r="A44" s="48" t="s">
        <v>1119</v>
      </c>
      <c r="B44" s="48"/>
      <c r="C44" s="48"/>
      <c r="D44" s="48"/>
      <c r="E44" s="48"/>
      <c r="F44" s="48"/>
      <c r="G44" s="48"/>
      <c r="H44" s="48"/>
      <c r="I44" s="48"/>
      <c r="J44" s="48"/>
      <c r="K44" s="48" t="s">
        <v>1080</v>
      </c>
      <c r="L44" s="48"/>
      <c r="M44" s="48"/>
      <c r="N44" s="48"/>
      <c r="O44" s="48"/>
      <c r="P44" s="48"/>
      <c r="Q44" s="48"/>
      <c r="R44" s="48"/>
      <c r="S44" s="48"/>
      <c r="T44" s="48"/>
      <c r="U44" s="48"/>
      <c r="V44" s="48"/>
      <c r="W44" s="48"/>
    </row>
    <row r="45" spans="1:23" ht="33" customHeight="1" x14ac:dyDescent="0.25">
      <c r="A45" s="1279" t="s">
        <v>172</v>
      </c>
      <c r="B45" s="1279" t="s">
        <v>589</v>
      </c>
      <c r="C45" s="1277" t="s">
        <v>52</v>
      </c>
      <c r="D45" s="1278"/>
      <c r="E45" s="1278"/>
      <c r="F45" s="1278"/>
      <c r="G45" s="1278"/>
      <c r="H45" s="1278"/>
      <c r="I45" s="1278"/>
      <c r="J45" s="1278"/>
      <c r="K45" s="1278"/>
      <c r="L45" s="539" t="s">
        <v>823</v>
      </c>
      <c r="M45" s="178" t="s">
        <v>628</v>
      </c>
      <c r="N45" s="195" t="s">
        <v>298</v>
      </c>
      <c r="O45" s="48"/>
      <c r="P45" s="48"/>
      <c r="Q45" s="48"/>
      <c r="R45" s="48"/>
      <c r="S45" s="48"/>
      <c r="T45" s="48"/>
      <c r="U45" s="48"/>
      <c r="V45" s="48"/>
      <c r="W45" s="48"/>
    </row>
    <row r="46" spans="1:23" ht="15.4" customHeight="1" x14ac:dyDescent="0.25">
      <c r="A46" s="1279"/>
      <c r="B46" s="1279"/>
      <c r="C46" s="50" t="s">
        <v>1450</v>
      </c>
      <c r="D46" s="50">
        <v>50</v>
      </c>
      <c r="E46" s="50">
        <v>100</v>
      </c>
      <c r="F46" s="50">
        <v>200</v>
      </c>
      <c r="G46" s="50">
        <v>500</v>
      </c>
      <c r="H46" s="142">
        <v>1000</v>
      </c>
      <c r="I46" s="142">
        <v>2000</v>
      </c>
      <c r="J46" s="142">
        <v>5000</v>
      </c>
      <c r="K46" s="142">
        <v>8000</v>
      </c>
      <c r="L46" s="539">
        <f>$C$1</f>
        <v>1.1435271830114</v>
      </c>
      <c r="M46" s="178">
        <f>IF(L46&lt;D46,15,IF(L46&gt;K46,K46,HLOOKUP(L46,D46:K46,1)))</f>
        <v>15</v>
      </c>
      <c r="N46" s="195">
        <f>IF(L46&lt;15,15,IF(L46&lt;50,50,IF(L46&gt;K46,K46,INDEX(D46:K46,MATCH(L46,D46:K46,1)+1))))</f>
        <v>15</v>
      </c>
      <c r="O46" s="48"/>
      <c r="P46" s="48"/>
      <c r="Q46" s="48"/>
      <c r="R46" s="48"/>
      <c r="S46" s="48"/>
      <c r="T46" s="48"/>
      <c r="U46" s="48"/>
      <c r="V46" s="48"/>
      <c r="W46" s="48"/>
    </row>
    <row r="47" spans="1:23" ht="30.75" customHeight="1" x14ac:dyDescent="0.25">
      <c r="A47" s="1273" t="s">
        <v>14</v>
      </c>
      <c r="B47" s="1274"/>
      <c r="C47" s="1274"/>
      <c r="D47" s="1274"/>
      <c r="E47" s="1274"/>
      <c r="F47" s="1274"/>
      <c r="G47" s="1274"/>
      <c r="H47" s="1274"/>
      <c r="I47" s="1274"/>
      <c r="J47" s="1274"/>
      <c r="K47" s="1275"/>
      <c r="L47" s="426"/>
      <c r="M47" s="426"/>
      <c r="N47" s="426"/>
      <c r="O47" s="48"/>
      <c r="P47" s="48"/>
      <c r="Q47" s="48"/>
      <c r="R47" s="48"/>
      <c r="S47" s="48"/>
      <c r="T47" s="48"/>
      <c r="U47" s="48"/>
      <c r="V47" s="48"/>
      <c r="W47" s="48"/>
    </row>
    <row r="48" spans="1:23" ht="15.4" customHeight="1" x14ac:dyDescent="0.25">
      <c r="A48" s="612" t="s">
        <v>179</v>
      </c>
      <c r="B48" s="426" t="s">
        <v>32</v>
      </c>
      <c r="C48" s="56">
        <v>0.16500000000000001</v>
      </c>
      <c r="D48" s="56">
        <v>0.11</v>
      </c>
      <c r="E48" s="56">
        <v>8.5000000000000006E-2</v>
      </c>
      <c r="F48" s="56">
        <v>6.5000000000000002E-2</v>
      </c>
      <c r="G48" s="56">
        <v>0.05</v>
      </c>
      <c r="H48" s="56">
        <v>4.1000000000000002E-2</v>
      </c>
      <c r="I48" s="56">
        <v>2.9000000000000001E-2</v>
      </c>
      <c r="J48" s="56">
        <v>2.1999999999999999E-2</v>
      </c>
      <c r="K48" s="56">
        <v>1.9E-2</v>
      </c>
      <c r="L48" s="903">
        <f t="shared" ref="L48:L52" si="0">IF(N$46=M$46,M48,ROUND(M48-((M48-N48)/(N$46-M$46))*(L$46-M$46),3))</f>
        <v>0.16500000000000001</v>
      </c>
      <c r="M48" s="560">
        <f>IF(M$46=15,C48,HLOOKUP($M$46,$D$46:$K$64,3,TRUE))</f>
        <v>0.16500000000000001</v>
      </c>
      <c r="N48" s="36">
        <f>IF(N$46=15,C48,HLOOKUP($N$46,$D$46:$K$64,3,TRUE))</f>
        <v>0.16500000000000001</v>
      </c>
      <c r="O48" s="48"/>
      <c r="P48" s="48"/>
      <c r="Q48" s="48"/>
      <c r="R48" s="48"/>
      <c r="S48" s="48"/>
      <c r="T48" s="48"/>
      <c r="U48" s="48"/>
      <c r="V48" s="48"/>
      <c r="W48" s="48"/>
    </row>
    <row r="49" spans="1:23" ht="15.4" customHeight="1" x14ac:dyDescent="0.25">
      <c r="A49" s="612" t="s">
        <v>549</v>
      </c>
      <c r="B49" s="426" t="s">
        <v>1130</v>
      </c>
      <c r="C49" s="56">
        <v>0.19</v>
      </c>
      <c r="D49" s="56">
        <v>0.126</v>
      </c>
      <c r="E49" s="56">
        <v>9.7000000000000003E-2</v>
      </c>
      <c r="F49" s="56">
        <v>7.4999999999999997E-2</v>
      </c>
      <c r="G49" s="56">
        <v>5.8000000000000003E-2</v>
      </c>
      <c r="H49" s="56">
        <v>4.3999999999999997E-2</v>
      </c>
      <c r="I49" s="56">
        <v>3.5000000000000003E-2</v>
      </c>
      <c r="J49" s="56">
        <v>2.5999999999999999E-2</v>
      </c>
      <c r="K49" s="56">
        <v>2.1999999999999999E-2</v>
      </c>
      <c r="L49" s="903">
        <f t="shared" si="0"/>
        <v>0.19</v>
      </c>
      <c r="M49" s="560">
        <f>IF(M$46=15,C49,HLOOKUP($M$46,$D$46:$K$64,4,TRUE))</f>
        <v>0.19</v>
      </c>
      <c r="N49" s="36">
        <f>IF(N$46=15,C49,HLOOKUP($N$46,$D$46:$K$64,4,TRUE))</f>
        <v>0.19</v>
      </c>
      <c r="O49" s="48"/>
      <c r="P49" s="48"/>
      <c r="Q49" s="48"/>
      <c r="R49" s="48"/>
      <c r="S49" s="48"/>
      <c r="T49" s="48"/>
      <c r="U49" s="48"/>
      <c r="V49" s="48"/>
      <c r="W49" s="48"/>
    </row>
    <row r="50" spans="1:23" ht="15.4" customHeight="1" x14ac:dyDescent="0.25">
      <c r="A50" s="612" t="s">
        <v>962</v>
      </c>
      <c r="B50" s="426" t="s">
        <v>71</v>
      </c>
      <c r="C50" s="56">
        <v>0.109</v>
      </c>
      <c r="D50" s="56">
        <v>7.1999999999999995E-2</v>
      </c>
      <c r="E50" s="56">
        <v>5.5E-2</v>
      </c>
      <c r="F50" s="56">
        <v>4.2999999999999997E-2</v>
      </c>
      <c r="G50" s="56">
        <v>3.3000000000000002E-2</v>
      </c>
      <c r="H50" s="56">
        <v>2.5000000000000001E-2</v>
      </c>
      <c r="I50" s="56">
        <v>2.1000000000000001E-2</v>
      </c>
      <c r="J50" s="56">
        <v>1.6E-2</v>
      </c>
      <c r="K50" s="56">
        <v>1.4E-2</v>
      </c>
      <c r="L50" s="903">
        <f t="shared" si="0"/>
        <v>0.109</v>
      </c>
      <c r="M50" s="560">
        <f>IF(M$46=15,C50,HLOOKUP($M$46,$D$46:$K$64,5,TRUE))</f>
        <v>0.109</v>
      </c>
      <c r="N50" s="36">
        <f>IF(N$46=15,C50,HLOOKUP($N$46,$D$46:$K$64,5,TRUE))</f>
        <v>0.109</v>
      </c>
      <c r="O50" s="48"/>
      <c r="P50" s="48"/>
      <c r="Q50" s="48"/>
      <c r="R50" s="48"/>
      <c r="S50" s="48"/>
      <c r="T50" s="48"/>
      <c r="U50" s="48"/>
      <c r="V50" s="48"/>
      <c r="W50" s="48"/>
    </row>
    <row r="51" spans="1:23" ht="30.6" customHeight="1" x14ac:dyDescent="0.25">
      <c r="A51" s="612" t="s">
        <v>1342</v>
      </c>
      <c r="B51" s="131" t="s">
        <v>471</v>
      </c>
      <c r="C51" s="56">
        <v>0.121</v>
      </c>
      <c r="D51" s="56">
        <v>0.08</v>
      </c>
      <c r="E51" s="56">
        <v>6.0999999999999999E-2</v>
      </c>
      <c r="F51" s="56">
        <v>4.8000000000000001E-2</v>
      </c>
      <c r="G51" s="56">
        <v>3.6999999999999998E-2</v>
      </c>
      <c r="H51" s="56">
        <v>2.8000000000000001E-2</v>
      </c>
      <c r="I51" s="56">
        <v>2.3E-2</v>
      </c>
      <c r="J51" s="56">
        <v>1.7000000000000001E-2</v>
      </c>
      <c r="K51" s="56">
        <v>1.4999999999999999E-2</v>
      </c>
      <c r="L51" s="903">
        <f t="shared" si="0"/>
        <v>0.121</v>
      </c>
      <c r="M51" s="560">
        <f>IF(M$46=15,C51,HLOOKUP($M$46,$D$46:$K$64,6,TRUE))</f>
        <v>0.121</v>
      </c>
      <c r="N51" s="36">
        <f>IF(N$46=15,C51,HLOOKUP($N$46,$D$46:$K$64,6,TRUE))</f>
        <v>0.121</v>
      </c>
      <c r="O51" s="48"/>
      <c r="P51" s="48"/>
      <c r="Q51" s="48"/>
      <c r="R51" s="48"/>
      <c r="S51" s="48"/>
      <c r="T51" s="48"/>
      <c r="U51" s="48"/>
      <c r="V51" s="48"/>
      <c r="W51" s="48"/>
    </row>
    <row r="52" spans="1:23" ht="15.4" customHeight="1" x14ac:dyDescent="0.25">
      <c r="A52" s="612" t="s">
        <v>1317</v>
      </c>
      <c r="B52" s="426" t="s">
        <v>500</v>
      </c>
      <c r="C52" s="56">
        <v>0.126</v>
      </c>
      <c r="D52" s="56">
        <v>8.5000000000000006E-2</v>
      </c>
      <c r="E52" s="56">
        <v>6.5000000000000002E-2</v>
      </c>
      <c r="F52" s="56">
        <v>0.05</v>
      </c>
      <c r="G52" s="56">
        <v>3.9E-2</v>
      </c>
      <c r="H52" s="56">
        <v>0.03</v>
      </c>
      <c r="I52" s="56">
        <v>2.5999999999999999E-2</v>
      </c>
      <c r="J52" s="56">
        <v>1.9E-2</v>
      </c>
      <c r="K52" s="56">
        <v>1.7000000000000001E-2</v>
      </c>
      <c r="L52" s="903">
        <f t="shared" si="0"/>
        <v>0.126</v>
      </c>
      <c r="M52" s="560">
        <f>IF(M$46=15,C52,HLOOKUP($M$46,$D$46:$K$64,7,TRUE))</f>
        <v>0.126</v>
      </c>
      <c r="N52" s="36">
        <f>IF(N$46=15,C52,HLOOKUP($N$46,$D$46:$K$64,7,TRUE))</f>
        <v>0.126</v>
      </c>
      <c r="O52" s="48"/>
      <c r="P52" s="48"/>
      <c r="Q52" s="48"/>
      <c r="R52" s="48"/>
      <c r="S52" s="48"/>
      <c r="T52" s="48"/>
      <c r="U52" s="48"/>
      <c r="V52" s="48"/>
      <c r="W52" s="48"/>
    </row>
    <row r="53" spans="1:23" ht="31.5" customHeight="1" x14ac:dyDescent="0.25">
      <c r="A53" s="1276" t="s">
        <v>712</v>
      </c>
      <c r="B53" s="1276"/>
      <c r="C53" s="1276"/>
      <c r="D53" s="1276"/>
      <c r="E53" s="1276"/>
      <c r="F53" s="1276"/>
      <c r="G53" s="1276"/>
      <c r="H53" s="1276"/>
      <c r="I53" s="1276"/>
      <c r="J53" s="1276"/>
      <c r="K53" s="1276"/>
      <c r="L53" s="426"/>
      <c r="M53" s="426"/>
      <c r="N53" s="426"/>
      <c r="O53" s="48"/>
      <c r="P53" s="48"/>
      <c r="Q53" s="48"/>
      <c r="R53" s="48"/>
      <c r="S53" s="48"/>
      <c r="T53" s="48"/>
      <c r="U53" s="48"/>
      <c r="V53" s="48"/>
      <c r="W53" s="48"/>
    </row>
    <row r="54" spans="1:23" ht="15.4" customHeight="1" x14ac:dyDescent="0.25">
      <c r="A54" s="612" t="s">
        <v>393</v>
      </c>
      <c r="B54" s="426" t="str">
        <f t="shared" ref="B54:B58" si="1">B48</f>
        <v>Công trình dân dụng</v>
      </c>
      <c r="C54" s="452">
        <v>4.9500000000000002E-2</v>
      </c>
      <c r="D54" s="452">
        <v>3.3000000000000002E-2</v>
      </c>
      <c r="E54" s="452">
        <v>2.5499999999999998E-2</v>
      </c>
      <c r="F54" s="452">
        <v>1.95E-2</v>
      </c>
      <c r="G54" s="452">
        <v>1.4999999999999999E-2</v>
      </c>
      <c r="H54" s="452">
        <v>1.23E-2</v>
      </c>
      <c r="I54" s="452">
        <v>8.6999999999999994E-3</v>
      </c>
      <c r="J54" s="452">
        <v>6.6E-3</v>
      </c>
      <c r="K54" s="452">
        <v>5.7000000000000002E-3</v>
      </c>
      <c r="L54" s="399">
        <f t="shared" ref="L54:L58" si="2">IF(N$46=M$46,M54,ROUND(M54-((M54-N54)/(N$46-M$46))*(L$46-M$46),4))</f>
        <v>4.9500000000000002E-2</v>
      </c>
      <c r="M54" s="34">
        <f>IF(M$46=15,C54,HLOOKUP($M$46,$D$46:$K$64,9,TRUE))</f>
        <v>4.9500000000000002E-2</v>
      </c>
      <c r="N54" s="433">
        <f>IF(N$46=15,C54,HLOOKUP($N$46,$D$46:$K$64,9,TRUE))</f>
        <v>4.9500000000000002E-2</v>
      </c>
      <c r="O54" s="48"/>
      <c r="P54" s="48"/>
      <c r="Q54" s="48"/>
      <c r="R54" s="48"/>
      <c r="S54" s="48"/>
      <c r="T54" s="48"/>
      <c r="U54" s="48"/>
      <c r="V54" s="48"/>
      <c r="W54" s="48"/>
    </row>
    <row r="55" spans="1:23" ht="15.4" customHeight="1" x14ac:dyDescent="0.25">
      <c r="A55" s="612" t="s">
        <v>776</v>
      </c>
      <c r="B55" s="426" t="str">
        <f t="shared" si="1"/>
        <v>Công trình công nghiệp</v>
      </c>
      <c r="C55" s="452">
        <v>5.7000000000000002E-2</v>
      </c>
      <c r="D55" s="452">
        <v>3.78E-2</v>
      </c>
      <c r="E55" s="452">
        <v>2.9100000000000001E-2</v>
      </c>
      <c r="F55" s="452">
        <v>2.5499999999999998E-2</v>
      </c>
      <c r="G55" s="452">
        <v>1.7399999999999999E-2</v>
      </c>
      <c r="H55" s="452">
        <v>1.32E-2</v>
      </c>
      <c r="I55" s="452">
        <v>1.0500000000000001E-2</v>
      </c>
      <c r="J55" s="452">
        <v>7.7999999999999996E-3</v>
      </c>
      <c r="K55" s="452">
        <v>6.6E-3</v>
      </c>
      <c r="L55" s="399">
        <f t="shared" si="2"/>
        <v>5.7000000000000002E-2</v>
      </c>
      <c r="M55" s="34">
        <f>IF(M$46=15,C55,HLOOKUP($M$46,$D$46:$K$64,10,TRUE))</f>
        <v>5.7000000000000002E-2</v>
      </c>
      <c r="N55" s="433">
        <f>IF(N$46=15,C55,HLOOKUP($N$46,$D$46:$K$64,10,TRUE))</f>
        <v>5.7000000000000002E-2</v>
      </c>
      <c r="O55" s="48"/>
      <c r="P55" s="48"/>
      <c r="Q55" s="48"/>
      <c r="R55" s="48"/>
      <c r="S55" s="48"/>
      <c r="T55" s="48"/>
      <c r="U55" s="48"/>
      <c r="V55" s="48"/>
      <c r="W55" s="48"/>
    </row>
    <row r="56" spans="1:23" ht="15.4" customHeight="1" x14ac:dyDescent="0.25">
      <c r="A56" s="612" t="s">
        <v>748</v>
      </c>
      <c r="B56" s="426" t="str">
        <f t="shared" si="1"/>
        <v>Công trình giao thông</v>
      </c>
      <c r="C56" s="452">
        <v>3.27E-2</v>
      </c>
      <c r="D56" s="452">
        <v>2.1600000000000001E-2</v>
      </c>
      <c r="E56" s="452">
        <v>1.6500000000000001E-2</v>
      </c>
      <c r="F56" s="452">
        <v>1.29E-2</v>
      </c>
      <c r="G56" s="452">
        <v>9.9000000000000008E-3</v>
      </c>
      <c r="H56" s="452">
        <v>7.4999999999999997E-3</v>
      </c>
      <c r="I56" s="452">
        <v>6.3E-3</v>
      </c>
      <c r="J56" s="452">
        <v>4.7999999999999996E-3</v>
      </c>
      <c r="K56" s="452">
        <v>4.1999999999999997E-3</v>
      </c>
      <c r="L56" s="399">
        <f t="shared" si="2"/>
        <v>3.27E-2</v>
      </c>
      <c r="M56" s="34">
        <f>IF(M$46=15,C56,HLOOKUP($M$46,$D$46:$K$64,11,TRUE))</f>
        <v>3.27E-2</v>
      </c>
      <c r="N56" s="433">
        <f>IF(N$46=15,C56,HLOOKUP($N$46,$D$46:$K$64,11,TRUE))</f>
        <v>3.27E-2</v>
      </c>
      <c r="O56" s="48"/>
      <c r="P56" s="48"/>
      <c r="Q56" s="48"/>
      <c r="R56" s="48"/>
      <c r="S56" s="48"/>
      <c r="T56" s="48"/>
      <c r="U56" s="48"/>
      <c r="V56" s="48"/>
      <c r="W56" s="48"/>
    </row>
    <row r="57" spans="1:23" ht="30.6" customHeight="1" x14ac:dyDescent="0.25">
      <c r="A57" s="612" t="s">
        <v>1174</v>
      </c>
      <c r="B57" s="131" t="str">
        <f t="shared" si="1"/>
        <v>Công trình nông nghiệp và phát triển nông thôn</v>
      </c>
      <c r="C57" s="452">
        <v>3.6299999999999999E-2</v>
      </c>
      <c r="D57" s="452">
        <v>2.4E-2</v>
      </c>
      <c r="E57" s="452">
        <v>1.83E-2</v>
      </c>
      <c r="F57" s="452">
        <v>1.44E-2</v>
      </c>
      <c r="G57" s="452">
        <v>1.11E-2</v>
      </c>
      <c r="H57" s="452">
        <v>8.3999999999999995E-3</v>
      </c>
      <c r="I57" s="452">
        <v>6.8999999999999999E-3</v>
      </c>
      <c r="J57" s="452">
        <v>5.1000000000000004E-3</v>
      </c>
      <c r="K57" s="452">
        <v>4.3E-3</v>
      </c>
      <c r="L57" s="399">
        <f t="shared" si="2"/>
        <v>3.6299999999999999E-2</v>
      </c>
      <c r="M57" s="34">
        <f>IF(M$46=15,C57,HLOOKUP($M$46,$D$46:$K$64,12,TRUE))</f>
        <v>3.6299999999999999E-2</v>
      </c>
      <c r="N57" s="433">
        <f>IF(N$46=15,C57,HLOOKUP($N$46,$D$46:$K$64,12,TRUE))</f>
        <v>3.6299999999999999E-2</v>
      </c>
      <c r="O57" s="48"/>
      <c r="P57" s="48"/>
      <c r="Q57" s="48"/>
      <c r="R57" s="48"/>
      <c r="S57" s="48"/>
      <c r="T57" s="48"/>
      <c r="U57" s="48"/>
      <c r="V57" s="48"/>
      <c r="W57" s="48"/>
    </row>
    <row r="58" spans="1:23" ht="15.4" customHeight="1" x14ac:dyDescent="0.25">
      <c r="A58" s="612" t="s">
        <v>54</v>
      </c>
      <c r="B58" s="426" t="str">
        <f t="shared" si="1"/>
        <v>Công trình hạ tầng kỹ thuật</v>
      </c>
      <c r="C58" s="452">
        <v>3.78E-2</v>
      </c>
      <c r="D58" s="452">
        <v>2.5499999999999998E-2</v>
      </c>
      <c r="E58" s="452">
        <v>1.95E-2</v>
      </c>
      <c r="F58" s="452">
        <v>1.4999999999999999E-2</v>
      </c>
      <c r="G58" s="452">
        <v>1.17E-2</v>
      </c>
      <c r="H58" s="452">
        <v>8.9999999999999993E-3</v>
      </c>
      <c r="I58" s="452">
        <v>7.8E-2</v>
      </c>
      <c r="J58" s="452">
        <v>5.7000000000000002E-3</v>
      </c>
      <c r="K58" s="452">
        <v>5.1000000000000004E-3</v>
      </c>
      <c r="L58" s="399">
        <f t="shared" si="2"/>
        <v>3.78E-2</v>
      </c>
      <c r="M58" s="34">
        <f>IF(M$46=15,C58,HLOOKUP($M$46,$D$46:$K$64,13,TRUE))</f>
        <v>3.78E-2</v>
      </c>
      <c r="N58" s="433">
        <f>IF(N$46=15,C58,HLOOKUP($N$46,$D$46:$K$64,13,TRUE))</f>
        <v>3.78E-2</v>
      </c>
      <c r="O58" s="48"/>
      <c r="P58" s="48"/>
      <c r="Q58" s="48"/>
      <c r="R58" s="48"/>
      <c r="S58" s="48"/>
      <c r="T58" s="48"/>
      <c r="U58" s="48"/>
      <c r="V58" s="48"/>
      <c r="W58" s="48"/>
    </row>
    <row r="59" spans="1:23" ht="16.350000000000001" customHeight="1" x14ac:dyDescent="0.25">
      <c r="A59" s="1276" t="s">
        <v>1441</v>
      </c>
      <c r="B59" s="1276"/>
      <c r="C59" s="1276"/>
      <c r="D59" s="1276"/>
      <c r="E59" s="1276"/>
      <c r="F59" s="1276"/>
      <c r="G59" s="1276"/>
      <c r="H59" s="1276"/>
      <c r="I59" s="1276"/>
      <c r="J59" s="1276"/>
      <c r="K59" s="1276"/>
      <c r="L59" s="426"/>
      <c r="M59" s="426"/>
      <c r="N59" s="426"/>
      <c r="O59" s="48"/>
      <c r="P59" s="48"/>
      <c r="Q59" s="48"/>
      <c r="R59" s="48"/>
      <c r="S59" s="48"/>
      <c r="T59" s="48"/>
      <c r="U59" s="48"/>
      <c r="V59" s="48"/>
      <c r="W59" s="48"/>
    </row>
    <row r="60" spans="1:23" ht="15.4" customHeight="1" x14ac:dyDescent="0.25">
      <c r="A60" s="612" t="s">
        <v>210</v>
      </c>
      <c r="B60" s="426" t="str">
        <f t="shared" ref="B60:B64" si="3">B48</f>
        <v>Công trình dân dụng</v>
      </c>
      <c r="C60" s="56">
        <v>9.9000000000000005E-2</v>
      </c>
      <c r="D60" s="56">
        <v>6.6000000000000003E-2</v>
      </c>
      <c r="E60" s="56">
        <v>5.0999999999999997E-2</v>
      </c>
      <c r="F60" s="56">
        <v>3.9E-2</v>
      </c>
      <c r="G60" s="56">
        <v>0.03</v>
      </c>
      <c r="H60" s="56">
        <v>2.4E-2</v>
      </c>
      <c r="I60" s="56">
        <v>1.7000000000000001E-2</v>
      </c>
      <c r="J60" s="56">
        <v>1.2999999999999999E-2</v>
      </c>
      <c r="K60" s="56">
        <v>1.2E-2</v>
      </c>
      <c r="L60" s="399">
        <f t="shared" ref="L60:L64" si="4">IF(N$46=M$46,M60,ROUND(M60-((M60-N60)/(N$46-M$46))*(L$46-M$46),4))</f>
        <v>9.9000000000000005E-2</v>
      </c>
      <c r="M60" s="34">
        <f>IF(M$46=15,C60,HLOOKUP($M$46,$D$46:$K$64,15,TRUE))</f>
        <v>9.9000000000000005E-2</v>
      </c>
      <c r="N60" s="433">
        <f>IF(N$46=15,C60,HLOOKUP($N$46,$D$46:$K$64,15,TRUE))</f>
        <v>9.9000000000000005E-2</v>
      </c>
      <c r="O60" s="48"/>
      <c r="P60" s="48"/>
      <c r="Q60" s="48"/>
      <c r="R60" s="48"/>
      <c r="S60" s="48"/>
      <c r="T60" s="48"/>
      <c r="U60" s="48"/>
      <c r="V60" s="48"/>
      <c r="W60" s="48"/>
    </row>
    <row r="61" spans="1:23" ht="15.4" customHeight="1" x14ac:dyDescent="0.25">
      <c r="A61" s="612" t="s">
        <v>579</v>
      </c>
      <c r="B61" s="426" t="str">
        <f t="shared" si="3"/>
        <v>Công trình công nghiệp</v>
      </c>
      <c r="C61" s="56">
        <v>0.114</v>
      </c>
      <c r="D61" s="56">
        <v>7.5999999999999998E-2</v>
      </c>
      <c r="E61" s="56">
        <v>5.8000000000000003E-2</v>
      </c>
      <c r="F61" s="56">
        <v>4.4999999999999998E-2</v>
      </c>
      <c r="G61" s="56">
        <v>3.5000000000000003E-2</v>
      </c>
      <c r="H61" s="56">
        <v>2.5999999999999999E-2</v>
      </c>
      <c r="I61" s="56">
        <v>2.1000000000000001E-2</v>
      </c>
      <c r="J61" s="56">
        <v>1.6E-2</v>
      </c>
      <c r="K61" s="56">
        <v>1.2999999999999999E-2</v>
      </c>
      <c r="L61" s="399">
        <f t="shared" si="4"/>
        <v>0.114</v>
      </c>
      <c r="M61" s="34">
        <f>IF(M$46=15,C61,HLOOKUP($M$46,$D$46:$K$64,16,TRUE))</f>
        <v>0.114</v>
      </c>
      <c r="N61" s="433">
        <f>IF(N$46=15,C61,HLOOKUP($N$46,$D$46:$K$64,16,TRUE))</f>
        <v>0.114</v>
      </c>
      <c r="O61" s="48"/>
      <c r="P61" s="48"/>
      <c r="Q61" s="48"/>
      <c r="R61" s="48"/>
      <c r="S61" s="48"/>
      <c r="T61" s="48"/>
      <c r="U61" s="48"/>
      <c r="V61" s="48"/>
      <c r="W61" s="48"/>
    </row>
    <row r="62" spans="1:23" ht="15.4" customHeight="1" x14ac:dyDescent="0.25">
      <c r="A62" s="612" t="s">
        <v>996</v>
      </c>
      <c r="B62" s="426" t="str">
        <f t="shared" si="3"/>
        <v>Công trình giao thông</v>
      </c>
      <c r="C62" s="56">
        <v>6.5000000000000002E-2</v>
      </c>
      <c r="D62" s="56">
        <v>4.2999999999999997E-2</v>
      </c>
      <c r="E62" s="56">
        <v>3.3000000000000002E-2</v>
      </c>
      <c r="F62" s="56">
        <v>2.5999999999999999E-2</v>
      </c>
      <c r="G62" s="56">
        <v>0.02</v>
      </c>
      <c r="H62" s="56">
        <v>1.4999999999999999E-2</v>
      </c>
      <c r="I62" s="56">
        <v>1.2E-2</v>
      </c>
      <c r="J62" s="56">
        <v>0.01</v>
      </c>
      <c r="K62" s="56">
        <v>8.0000000000000002E-3</v>
      </c>
      <c r="L62" s="399">
        <f t="shared" si="4"/>
        <v>6.5000000000000002E-2</v>
      </c>
      <c r="M62" s="34">
        <f>IF(M$46=15,C62,HLOOKUP($M$46,$D$46:$K$64,17,TRUE))</f>
        <v>6.5000000000000002E-2</v>
      </c>
      <c r="N62" s="433">
        <f>IF(N$46=15,C62,HLOOKUP($N$46,$D$46:$K$64,17,TRUE))</f>
        <v>6.5000000000000002E-2</v>
      </c>
      <c r="O62" s="48"/>
      <c r="P62" s="48"/>
      <c r="Q62" s="48"/>
      <c r="R62" s="48"/>
      <c r="S62" s="48"/>
      <c r="T62" s="48"/>
      <c r="U62" s="48"/>
      <c r="V62" s="48"/>
      <c r="W62" s="48"/>
    </row>
    <row r="63" spans="1:23" ht="30.6" customHeight="1" x14ac:dyDescent="0.25">
      <c r="A63" s="612" t="s">
        <v>1379</v>
      </c>
      <c r="B63" s="131" t="str">
        <f t="shared" si="3"/>
        <v>Công trình nông nghiệp và phát triển nông thôn</v>
      </c>
      <c r="C63" s="56">
        <v>7.1999999999999995E-2</v>
      </c>
      <c r="D63" s="56">
        <v>4.8000000000000001E-2</v>
      </c>
      <c r="E63" s="56">
        <v>3.5999999999999997E-2</v>
      </c>
      <c r="F63" s="56">
        <v>2.9000000000000001E-2</v>
      </c>
      <c r="G63" s="56">
        <v>2.1999999999999999E-2</v>
      </c>
      <c r="H63" s="56">
        <v>1.7000000000000001E-2</v>
      </c>
      <c r="I63" s="56">
        <v>1.4E-2</v>
      </c>
      <c r="J63" s="56">
        <v>0.01</v>
      </c>
      <c r="K63" s="56">
        <v>8.9999999999999993E-3</v>
      </c>
      <c r="L63" s="399">
        <f t="shared" si="4"/>
        <v>7.1999999999999995E-2</v>
      </c>
      <c r="M63" s="34">
        <f>IF(M$46=15,C63,HLOOKUP($M$46,$D$46:$K$64,18,TRUE))</f>
        <v>7.1999999999999995E-2</v>
      </c>
      <c r="N63" s="433">
        <f>IF(N$46=15,C63,HLOOKUP($N$46,$D$46:$K$64,18,TRUE))</f>
        <v>7.1999999999999995E-2</v>
      </c>
      <c r="O63" s="48"/>
      <c r="P63" s="48"/>
      <c r="Q63" s="48"/>
      <c r="R63" s="48"/>
      <c r="S63" s="48"/>
      <c r="T63" s="48"/>
      <c r="U63" s="48"/>
      <c r="V63" s="48"/>
      <c r="W63" s="48"/>
    </row>
    <row r="64" spans="1:23" ht="15.4" customHeight="1" x14ac:dyDescent="0.25">
      <c r="A64" s="612" t="s">
        <v>1353</v>
      </c>
      <c r="B64" s="426" t="str">
        <f t="shared" si="3"/>
        <v>Công trình hạ tầng kỹ thuật</v>
      </c>
      <c r="C64" s="56">
        <v>7.5999999999999998E-2</v>
      </c>
      <c r="D64" s="56">
        <v>5.0999999999999997E-2</v>
      </c>
      <c r="E64" s="56">
        <v>3.9E-2</v>
      </c>
      <c r="F64" s="56">
        <v>0.03</v>
      </c>
      <c r="G64" s="56">
        <v>2.4E-2</v>
      </c>
      <c r="H64" s="56">
        <v>1.7999999999999999E-2</v>
      </c>
      <c r="I64" s="56">
        <v>1.6E-2</v>
      </c>
      <c r="J64" s="56">
        <v>1.2E-2</v>
      </c>
      <c r="K64" s="56">
        <v>0.01</v>
      </c>
      <c r="L64" s="399">
        <f t="shared" si="4"/>
        <v>7.5999999999999998E-2</v>
      </c>
      <c r="M64" s="34">
        <f>IF(M$46=15,C64,HLOOKUP($M$46,$D$46:$K$64,19,TRUE))</f>
        <v>7.5999999999999998E-2</v>
      </c>
      <c r="N64" s="433">
        <f>IF(N$46=15,C64,HLOOKUP($N$46,$D$46:$K$64,19,TRUE))</f>
        <v>7.5999999999999998E-2</v>
      </c>
      <c r="O64" s="48"/>
      <c r="P64" s="48"/>
      <c r="Q64" s="48"/>
      <c r="R64" s="48"/>
      <c r="S64" s="48"/>
      <c r="T64" s="48"/>
      <c r="U64" s="48"/>
      <c r="V64" s="48"/>
      <c r="W64" s="48"/>
    </row>
    <row r="65" spans="1:23" ht="12.75" hidden="1" customHeight="1" x14ac:dyDescent="0.25">
      <c r="A65" s="48" t="s">
        <v>1145</v>
      </c>
      <c r="B65" s="48"/>
      <c r="C65" s="48"/>
      <c r="D65" s="48"/>
      <c r="E65" s="48"/>
      <c r="F65" s="48"/>
      <c r="G65" s="48"/>
      <c r="H65" s="48"/>
      <c r="I65" s="48"/>
      <c r="J65" s="48"/>
      <c r="K65" s="48"/>
      <c r="L65" s="903">
        <f>IF(N$46=M$46,M65,ROUND(M65-((M65-N65)/(N$46-M$46))*(L$46-M$46),3))</f>
        <v>0</v>
      </c>
      <c r="M65" s="560">
        <f>IF(M$46=15,C65,HLOOKUP($M$46,$D$46:$K$52,6,TRUE))</f>
        <v>0</v>
      </c>
      <c r="N65" s="48"/>
      <c r="O65" s="48"/>
      <c r="P65" s="48"/>
      <c r="Q65" s="48"/>
      <c r="R65" s="48"/>
      <c r="S65" s="48"/>
      <c r="T65" s="48"/>
      <c r="U65" s="48"/>
      <c r="V65" s="48"/>
      <c r="W65" s="48"/>
    </row>
    <row r="66" spans="1:23" ht="15.4"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row>
    <row r="67" spans="1:23" ht="15.4" customHeight="1" x14ac:dyDescent="0.25">
      <c r="A67" s="1272" t="s">
        <v>702</v>
      </c>
      <c r="B67" s="1272"/>
      <c r="C67" s="681"/>
      <c r="D67" s="681"/>
      <c r="E67" s="681"/>
      <c r="F67" s="681"/>
      <c r="G67" s="681"/>
      <c r="H67" s="681"/>
      <c r="I67" s="681"/>
      <c r="J67" s="681"/>
      <c r="K67" s="681"/>
      <c r="L67" s="681"/>
      <c r="M67" s="681"/>
      <c r="N67" s="681"/>
      <c r="O67" s="681"/>
      <c r="P67" s="48"/>
      <c r="Q67" s="48"/>
      <c r="R67" s="48"/>
      <c r="S67" s="48"/>
      <c r="T67" s="48"/>
      <c r="U67" s="48"/>
      <c r="V67" s="48"/>
      <c r="W67" s="48"/>
    </row>
    <row r="68" spans="1:23" ht="15.4" customHeight="1" x14ac:dyDescent="0.25">
      <c r="A68" s="48"/>
      <c r="B68" s="48"/>
      <c r="C68" s="48"/>
      <c r="D68" s="48"/>
      <c r="E68" s="48"/>
      <c r="F68" s="48"/>
      <c r="G68" s="48"/>
      <c r="H68" s="48"/>
      <c r="I68" s="1133" t="s">
        <v>681</v>
      </c>
      <c r="J68" s="1133"/>
      <c r="K68" s="1133"/>
      <c r="L68" s="1133"/>
      <c r="M68" s="817"/>
      <c r="N68" s="817"/>
      <c r="O68" s="48"/>
      <c r="P68" s="48"/>
      <c r="Q68" s="48"/>
      <c r="R68" s="48"/>
      <c r="S68" s="48"/>
      <c r="T68" s="48"/>
      <c r="U68" s="48"/>
      <c r="V68" s="48"/>
      <c r="W68" s="48"/>
    </row>
    <row r="69" spans="1:23" ht="12.75" hidden="1" customHeight="1" x14ac:dyDescent="0.25">
      <c r="A69" s="48" t="s">
        <v>490</v>
      </c>
      <c r="B69" s="48"/>
      <c r="C69" s="48"/>
      <c r="D69" s="48"/>
      <c r="E69" s="48"/>
      <c r="F69" s="48"/>
      <c r="G69" s="48"/>
      <c r="H69" s="48"/>
      <c r="I69" s="48"/>
      <c r="J69" s="48"/>
      <c r="K69" s="48" t="s">
        <v>1080</v>
      </c>
      <c r="L69" s="48"/>
      <c r="M69" s="48"/>
      <c r="N69" s="48"/>
      <c r="O69" s="48"/>
      <c r="P69" s="48"/>
      <c r="Q69" s="48"/>
      <c r="R69" s="48"/>
      <c r="S69" s="48"/>
      <c r="T69" s="48"/>
      <c r="U69" s="48"/>
      <c r="V69" s="48"/>
      <c r="W69" s="48"/>
    </row>
    <row r="70" spans="1:23" ht="33" customHeight="1" x14ac:dyDescent="0.25">
      <c r="A70" s="1279" t="s">
        <v>172</v>
      </c>
      <c r="B70" s="1279" t="s">
        <v>589</v>
      </c>
      <c r="C70" s="1277" t="s">
        <v>52</v>
      </c>
      <c r="D70" s="1278"/>
      <c r="E70" s="1278"/>
      <c r="F70" s="1278"/>
      <c r="G70" s="1278"/>
      <c r="H70" s="1278"/>
      <c r="I70" s="1278"/>
      <c r="J70" s="1278"/>
      <c r="K70" s="1278"/>
      <c r="L70" s="539" t="s">
        <v>823</v>
      </c>
      <c r="M70" s="178" t="s">
        <v>628</v>
      </c>
      <c r="N70" s="195" t="s">
        <v>298</v>
      </c>
      <c r="O70" s="48"/>
      <c r="P70" s="48"/>
      <c r="Q70" s="48"/>
      <c r="R70" s="48"/>
      <c r="S70" s="48"/>
      <c r="T70" s="48"/>
      <c r="U70" s="48"/>
      <c r="V70" s="48"/>
      <c r="W70" s="48"/>
    </row>
    <row r="71" spans="1:23" ht="15.4" customHeight="1" x14ac:dyDescent="0.25">
      <c r="A71" s="1279"/>
      <c r="B71" s="1279"/>
      <c r="C71" s="50" t="s">
        <v>1450</v>
      </c>
      <c r="D71" s="50">
        <v>50</v>
      </c>
      <c r="E71" s="50">
        <v>100</v>
      </c>
      <c r="F71" s="50">
        <v>200</v>
      </c>
      <c r="G71" s="50">
        <v>500</v>
      </c>
      <c r="H71" s="142">
        <v>1000</v>
      </c>
      <c r="I71" s="142">
        <v>2000</v>
      </c>
      <c r="J71" s="142">
        <v>5000</v>
      </c>
      <c r="K71" s="142">
        <v>8000</v>
      </c>
      <c r="L71" s="539">
        <f>$C$1</f>
        <v>1.1435271830114</v>
      </c>
      <c r="M71" s="178">
        <f>IF(L71&lt;D71,15,IF(L71&gt;K71,K71,HLOOKUP(L71,D71:K71,1)))</f>
        <v>15</v>
      </c>
      <c r="N71" s="195">
        <f>IF(L71&lt;15,15,IF(L71&lt;50,50,IF(L71&gt;K71,K71,INDEX(D71:K71,MATCH(L71,D71:K71,1)+1))))</f>
        <v>15</v>
      </c>
      <c r="O71" s="48"/>
      <c r="P71" s="48"/>
      <c r="Q71" s="48"/>
      <c r="R71" s="48"/>
      <c r="S71" s="48"/>
      <c r="T71" s="48"/>
      <c r="U71" s="48"/>
      <c r="V71" s="48"/>
      <c r="W71" s="48"/>
    </row>
    <row r="72" spans="1:23" ht="32.25" customHeight="1" x14ac:dyDescent="0.25">
      <c r="A72" s="1273" t="s">
        <v>14</v>
      </c>
      <c r="B72" s="1274"/>
      <c r="C72" s="1274"/>
      <c r="D72" s="1274"/>
      <c r="E72" s="1274"/>
      <c r="F72" s="1274"/>
      <c r="G72" s="1274"/>
      <c r="H72" s="1274"/>
      <c r="I72" s="1274"/>
      <c r="J72" s="1274"/>
      <c r="K72" s="1275"/>
      <c r="L72" s="426"/>
      <c r="M72" s="426"/>
      <c r="N72" s="426"/>
      <c r="O72" s="48"/>
      <c r="P72" s="48"/>
      <c r="Q72" s="48"/>
      <c r="R72" s="48"/>
      <c r="S72" s="48"/>
      <c r="T72" s="48"/>
      <c r="U72" s="48"/>
      <c r="V72" s="48"/>
      <c r="W72" s="48"/>
    </row>
    <row r="73" spans="1:23" ht="15.4" customHeight="1" x14ac:dyDescent="0.25">
      <c r="A73" s="612" t="s">
        <v>179</v>
      </c>
      <c r="B73" s="426" t="str">
        <f t="shared" ref="B73:B77" si="5">B48</f>
        <v>Công trình dân dụng</v>
      </c>
      <c r="C73" s="56">
        <v>0.16</v>
      </c>
      <c r="D73" s="56">
        <v>0.106</v>
      </c>
      <c r="E73" s="56">
        <v>8.3000000000000004E-2</v>
      </c>
      <c r="F73" s="56">
        <v>6.2E-2</v>
      </c>
      <c r="G73" s="56">
        <v>4.5999999999999999E-2</v>
      </c>
      <c r="H73" s="56">
        <v>3.7999999999999999E-2</v>
      </c>
      <c r="I73" s="56">
        <v>2.8000000000000001E-2</v>
      </c>
      <c r="J73" s="56">
        <v>2.1000000000000001E-2</v>
      </c>
      <c r="K73" s="56">
        <v>1.7999999999999999E-2</v>
      </c>
      <c r="L73" s="903">
        <f t="shared" ref="L73:L77" si="6">IF(N$71=M$71,M73,ROUND(M73-((M73-N73)/(N$71-M$71))*(L$71-M$71),3))</f>
        <v>0.16</v>
      </c>
      <c r="M73" s="560">
        <f>IF(M$71=15,C73,HLOOKUP($M$71,$D$71:$K$83,3,TRUE))</f>
        <v>0.16</v>
      </c>
      <c r="N73" s="36">
        <f>IF(N$71=15,C73,HLOOKUP($N$71,$D$71:$K$83,3,TRUE))</f>
        <v>0.16</v>
      </c>
      <c r="O73" s="48"/>
      <c r="P73" s="48"/>
      <c r="Q73" s="48"/>
      <c r="R73" s="48"/>
      <c r="S73" s="48"/>
      <c r="T73" s="48"/>
      <c r="U73" s="48"/>
      <c r="V73" s="48"/>
      <c r="W73" s="48"/>
    </row>
    <row r="74" spans="1:23" ht="15.4" customHeight="1" x14ac:dyDescent="0.25">
      <c r="A74" s="612" t="s">
        <v>549</v>
      </c>
      <c r="B74" s="426" t="str">
        <f t="shared" si="5"/>
        <v>Công trình công nghiệp</v>
      </c>
      <c r="C74" s="56">
        <v>0.185</v>
      </c>
      <c r="D74" s="56">
        <v>0.121</v>
      </c>
      <c r="E74" s="56">
        <v>9.4E-2</v>
      </c>
      <c r="F74" s="56">
        <v>7.1999999999999995E-2</v>
      </c>
      <c r="G74" s="56">
        <v>5.5E-2</v>
      </c>
      <c r="H74" s="56">
        <v>4.1000000000000002E-2</v>
      </c>
      <c r="I74" s="56">
        <v>3.3000000000000002E-2</v>
      </c>
      <c r="J74" s="56">
        <v>2.3E-2</v>
      </c>
      <c r="K74" s="56">
        <v>0.02</v>
      </c>
      <c r="L74" s="903">
        <f t="shared" si="6"/>
        <v>0.185</v>
      </c>
      <c r="M74" s="560">
        <f>IF(M$71=15,C74,HLOOKUP($M$71,$D$71:$K$83,4,TRUE))</f>
        <v>0.185</v>
      </c>
      <c r="N74" s="36">
        <f>IF(N$71=15,C74,HLOOKUP($N$71,$D$71:$K$83,4,TRUE))</f>
        <v>0.185</v>
      </c>
      <c r="O74" s="48"/>
      <c r="P74" s="48"/>
      <c r="Q74" s="48"/>
      <c r="R74" s="48"/>
      <c r="S74" s="48"/>
      <c r="T74" s="48"/>
      <c r="U74" s="48"/>
      <c r="V74" s="48"/>
      <c r="W74" s="48"/>
    </row>
    <row r="75" spans="1:23" ht="15.4" customHeight="1" x14ac:dyDescent="0.25">
      <c r="A75" s="612" t="s">
        <v>962</v>
      </c>
      <c r="B75" s="426" t="str">
        <f t="shared" si="5"/>
        <v>Công trình giao thông</v>
      </c>
      <c r="C75" s="56">
        <v>0.106</v>
      </c>
      <c r="D75" s="56">
        <v>6.8000000000000005E-2</v>
      </c>
      <c r="E75" s="56">
        <v>5.3999999999999999E-2</v>
      </c>
      <c r="F75" s="56">
        <v>4.1000000000000002E-2</v>
      </c>
      <c r="G75" s="56">
        <v>3.1E-2</v>
      </c>
      <c r="H75" s="56">
        <v>2.4E-2</v>
      </c>
      <c r="I75" s="56">
        <v>0.02</v>
      </c>
      <c r="J75" s="56">
        <v>1.4E-2</v>
      </c>
      <c r="K75" s="56">
        <v>1.2E-2</v>
      </c>
      <c r="L75" s="903">
        <f t="shared" si="6"/>
        <v>0.106</v>
      </c>
      <c r="M75" s="560">
        <f>IF(M$71=15,C75,HLOOKUP($M$71,$D$71:$K$83,5,TRUE))</f>
        <v>0.106</v>
      </c>
      <c r="N75" s="36">
        <f>IF(N$71=15,C75,HLOOKUP($N$71,$D$71:$K$83,5,TRUE))</f>
        <v>0.106</v>
      </c>
      <c r="O75" s="48"/>
      <c r="P75" s="48"/>
      <c r="Q75" s="48"/>
      <c r="R75" s="48"/>
      <c r="S75" s="48"/>
      <c r="T75" s="48"/>
      <c r="U75" s="48"/>
      <c r="V75" s="48"/>
      <c r="W75" s="48"/>
    </row>
    <row r="76" spans="1:23" ht="30.6" customHeight="1" x14ac:dyDescent="0.25">
      <c r="A76" s="612" t="s">
        <v>1342</v>
      </c>
      <c r="B76" s="131" t="str">
        <f t="shared" si="5"/>
        <v>Công trình nông nghiệp và phát triển nông thôn</v>
      </c>
      <c r="C76" s="56">
        <v>0.11700000000000001</v>
      </c>
      <c r="D76" s="56">
        <v>7.5999999999999998E-2</v>
      </c>
      <c r="E76" s="56">
        <v>0.06</v>
      </c>
      <c r="F76" s="56">
        <v>4.5999999999999999E-2</v>
      </c>
      <c r="G76" s="56">
        <v>3.5000000000000003E-2</v>
      </c>
      <c r="H76" s="56">
        <v>2.5999999999999999E-2</v>
      </c>
      <c r="I76" s="56">
        <v>2.1999999999999999E-2</v>
      </c>
      <c r="J76" s="56">
        <v>1.6E-2</v>
      </c>
      <c r="K76" s="56">
        <v>1.4E-2</v>
      </c>
      <c r="L76" s="166">
        <f t="shared" si="6"/>
        <v>0.11700000000000001</v>
      </c>
      <c r="M76" s="560">
        <f>IF(M$71=15,C76,HLOOKUP($M$71,$D$71:$K$83,6,TRUE))</f>
        <v>0.11700000000000001</v>
      </c>
      <c r="N76" s="36">
        <f>IF(N$71=15,C76,HLOOKUP($N$71,$D$71:$K$83,6,TRUE))</f>
        <v>0.11700000000000001</v>
      </c>
      <c r="O76" s="48"/>
      <c r="P76" s="48"/>
      <c r="Q76" s="48"/>
      <c r="R76" s="48"/>
      <c r="S76" s="48"/>
      <c r="T76" s="48"/>
      <c r="U76" s="48"/>
      <c r="V76" s="48"/>
      <c r="W76" s="48"/>
    </row>
    <row r="77" spans="1:23" ht="15.4" customHeight="1" x14ac:dyDescent="0.25">
      <c r="A77" s="612" t="s">
        <v>1317</v>
      </c>
      <c r="B77" s="426" t="str">
        <f t="shared" si="5"/>
        <v>Công trình hạ tầng kỹ thuật</v>
      </c>
      <c r="C77" s="56">
        <v>0.122</v>
      </c>
      <c r="D77" s="56">
        <v>8.2000000000000003E-2</v>
      </c>
      <c r="E77" s="56">
        <v>6.2E-2</v>
      </c>
      <c r="F77" s="56">
        <v>4.7E-2</v>
      </c>
      <c r="G77" s="56">
        <v>3.6999999999999998E-2</v>
      </c>
      <c r="H77" s="56">
        <v>2.9000000000000001E-2</v>
      </c>
      <c r="I77" s="56">
        <v>2.4E-2</v>
      </c>
      <c r="J77" s="56">
        <v>1.7000000000000001E-2</v>
      </c>
      <c r="K77" s="56">
        <v>1.4999999999999999E-2</v>
      </c>
      <c r="L77" s="903">
        <f t="shared" si="6"/>
        <v>0.122</v>
      </c>
      <c r="M77" s="560">
        <f>IF(M$71=15,C77,HLOOKUP($M$71,$D$71:$K$83,7,TRUE))</f>
        <v>0.122</v>
      </c>
      <c r="N77" s="36">
        <f>IF(N$71=15,C77,HLOOKUP($N$71,$D$71:$K$83,7,TRUE))</f>
        <v>0.122</v>
      </c>
      <c r="O77" s="48"/>
      <c r="P77" s="48"/>
      <c r="Q77" s="48"/>
      <c r="R77" s="48"/>
      <c r="S77" s="48"/>
      <c r="T77" s="48"/>
      <c r="U77" s="48"/>
      <c r="V77" s="48"/>
      <c r="W77" s="48"/>
    </row>
    <row r="78" spans="1:23" ht="33.75" customHeight="1" x14ac:dyDescent="0.25">
      <c r="A78" s="1276" t="s">
        <v>712</v>
      </c>
      <c r="B78" s="1276"/>
      <c r="C78" s="1276"/>
      <c r="D78" s="1276"/>
      <c r="E78" s="1276"/>
      <c r="F78" s="1276"/>
      <c r="G78" s="1276"/>
      <c r="H78" s="1276"/>
      <c r="I78" s="1276"/>
      <c r="J78" s="1276"/>
      <c r="K78" s="1276"/>
      <c r="L78" s="426"/>
      <c r="M78" s="426"/>
      <c r="N78" s="426"/>
      <c r="O78" s="48"/>
      <c r="P78" s="48"/>
      <c r="Q78" s="48"/>
      <c r="R78" s="48"/>
      <c r="S78" s="48"/>
      <c r="T78" s="48"/>
      <c r="U78" s="48"/>
      <c r="V78" s="48"/>
      <c r="W78" s="48"/>
    </row>
    <row r="79" spans="1:23" ht="15.4" customHeight="1" x14ac:dyDescent="0.25">
      <c r="A79" s="612" t="s">
        <v>393</v>
      </c>
      <c r="B79" s="426" t="str">
        <f t="shared" ref="B79:B83" si="7">B48</f>
        <v>Công trình dân dụng</v>
      </c>
      <c r="C79" s="452">
        <v>4.8000000000000001E-2</v>
      </c>
      <c r="D79" s="452">
        <v>3.1800000000000002E-2</v>
      </c>
      <c r="E79" s="452">
        <v>2.4899999999999999E-2</v>
      </c>
      <c r="F79" s="452">
        <v>1.8599999999999998E-2</v>
      </c>
      <c r="G79" s="452">
        <v>1.38E-2</v>
      </c>
      <c r="H79" s="452">
        <v>1.14E-2</v>
      </c>
      <c r="I79" s="452">
        <v>8.3999999999999995E-3</v>
      </c>
      <c r="J79" s="452">
        <v>6.3E-3</v>
      </c>
      <c r="K79" s="452">
        <v>5.4000000000000003E-3</v>
      </c>
      <c r="L79" s="399">
        <f t="shared" ref="L79:L83" si="8">IF(N$71=M$71,M79,ROUND(M79-((M79-N79)/(N$71-M$71))*(L$71-M$71),4))</f>
        <v>4.8000000000000001E-2</v>
      </c>
      <c r="M79" s="34">
        <f>IF(M$71=15,C79,HLOOKUP($M$71,$D$71:$K$83,9,TRUE))</f>
        <v>4.8000000000000001E-2</v>
      </c>
      <c r="N79" s="433">
        <f>IF(N$71=15,C79,HLOOKUP($N$71,$D$71:$K$83,9,TRUE))</f>
        <v>4.8000000000000001E-2</v>
      </c>
      <c r="O79" s="48"/>
      <c r="P79" s="48"/>
      <c r="Q79" s="48"/>
      <c r="R79" s="48"/>
      <c r="S79" s="48"/>
      <c r="T79" s="48"/>
      <c r="U79" s="48"/>
      <c r="V79" s="48"/>
      <c r="W79" s="48"/>
    </row>
    <row r="80" spans="1:23" ht="15.4" customHeight="1" x14ac:dyDescent="0.25">
      <c r="A80" s="612" t="s">
        <v>776</v>
      </c>
      <c r="B80" s="426" t="str">
        <f t="shared" si="7"/>
        <v>Công trình công nghiệp</v>
      </c>
      <c r="C80" s="452">
        <v>5.5500000000000001E-2</v>
      </c>
      <c r="D80" s="452">
        <v>3.6299999999999999E-2</v>
      </c>
      <c r="E80" s="452">
        <v>2.8199999999999999E-2</v>
      </c>
      <c r="F80" s="452">
        <v>2.1600000000000001E-2</v>
      </c>
      <c r="G80" s="452">
        <v>1.6500000000000001E-2</v>
      </c>
      <c r="H80" s="452">
        <v>1.23E-2</v>
      </c>
      <c r="I80" s="452">
        <v>9.9000000000000008E-3</v>
      </c>
      <c r="J80" s="452">
        <v>6.8999999999999999E-3</v>
      </c>
      <c r="K80" s="452">
        <v>6.0000000000000001E-3</v>
      </c>
      <c r="L80" s="399">
        <f t="shared" si="8"/>
        <v>5.5500000000000001E-2</v>
      </c>
      <c r="M80" s="34">
        <f>IF(M$71=15,C80,HLOOKUP($M$71,$D$71:$K$83,10,TRUE))</f>
        <v>5.5500000000000001E-2</v>
      </c>
      <c r="N80" s="433">
        <f>IF(N$71=15,C80,HLOOKUP($N$71,$D$71:$K$83,10,TRUE))</f>
        <v>5.5500000000000001E-2</v>
      </c>
      <c r="O80" s="48"/>
      <c r="P80" s="48"/>
      <c r="Q80" s="48"/>
      <c r="R80" s="48"/>
      <c r="S80" s="48"/>
      <c r="T80" s="48"/>
      <c r="U80" s="48"/>
      <c r="V80" s="48"/>
      <c r="W80" s="48"/>
    </row>
    <row r="81" spans="1:23" ht="15.4" customHeight="1" x14ac:dyDescent="0.25">
      <c r="A81" s="612" t="s">
        <v>748</v>
      </c>
      <c r="B81" s="426" t="str">
        <f t="shared" si="7"/>
        <v>Công trình giao thông</v>
      </c>
      <c r="C81" s="452">
        <v>3.1800000000000002E-2</v>
      </c>
      <c r="D81" s="452">
        <v>2.0400000000000001E-2</v>
      </c>
      <c r="E81" s="452">
        <v>1.6199999999999999E-2</v>
      </c>
      <c r="F81" s="452">
        <v>1.23E-2</v>
      </c>
      <c r="G81" s="452">
        <v>9.2999999999999992E-3</v>
      </c>
      <c r="H81" s="452">
        <v>7.1999999999999998E-3</v>
      </c>
      <c r="I81" s="452">
        <v>6.0000000000000001E-3</v>
      </c>
      <c r="J81" s="452">
        <v>4.1999999999999997E-3</v>
      </c>
      <c r="K81" s="452">
        <v>3.5999999999999999E-3</v>
      </c>
      <c r="L81" s="399">
        <f t="shared" si="8"/>
        <v>3.1800000000000002E-2</v>
      </c>
      <c r="M81" s="34">
        <f>IF(M$71=15,C81,HLOOKUP($M$71,$D$71:$K$83,11,TRUE))</f>
        <v>3.1800000000000002E-2</v>
      </c>
      <c r="N81" s="433">
        <f>IF(N$71=15,C81,HLOOKUP($N$71,$D$71:$K$83,11,TRUE))</f>
        <v>3.1800000000000002E-2</v>
      </c>
      <c r="O81" s="48"/>
      <c r="P81" s="48"/>
      <c r="Q81" s="48"/>
      <c r="R81" s="48"/>
      <c r="S81" s="48"/>
      <c r="T81" s="48"/>
      <c r="U81" s="48"/>
      <c r="V81" s="48"/>
      <c r="W81" s="48"/>
    </row>
    <row r="82" spans="1:23" ht="30.6" customHeight="1" x14ac:dyDescent="0.25">
      <c r="A82" s="612" t="s">
        <v>1174</v>
      </c>
      <c r="B82" s="131" t="str">
        <f t="shared" si="7"/>
        <v>Công trình nông nghiệp và phát triển nông thôn</v>
      </c>
      <c r="C82" s="452">
        <v>3.5099999999999999E-2</v>
      </c>
      <c r="D82" s="452">
        <v>2.2800000000000001E-2</v>
      </c>
      <c r="E82" s="452">
        <v>1.7999999999999999E-2</v>
      </c>
      <c r="F82" s="452">
        <v>1.38E-2</v>
      </c>
      <c r="G82" s="452">
        <v>1.0500000000000001E-2</v>
      </c>
      <c r="H82" s="452">
        <v>7.7999999999999996E-3</v>
      </c>
      <c r="I82" s="452">
        <v>6.6E-3</v>
      </c>
      <c r="J82" s="452">
        <v>4.7999999999999996E-3</v>
      </c>
      <c r="K82" s="452">
        <v>4.1999999999999997E-3</v>
      </c>
      <c r="L82" s="399">
        <f t="shared" si="8"/>
        <v>3.5099999999999999E-2</v>
      </c>
      <c r="M82" s="34">
        <f>IF(M$71=15,C82,HLOOKUP($M$71,$D$71:$K$83,12,TRUE))</f>
        <v>3.5099999999999999E-2</v>
      </c>
      <c r="N82" s="433">
        <f>IF(N$71=15,C82,HLOOKUP($N$71,$D$71:$K$83,12,TRUE))</f>
        <v>3.5099999999999999E-2</v>
      </c>
      <c r="O82" s="48"/>
      <c r="P82" s="48"/>
      <c r="Q82" s="48"/>
      <c r="R82" s="48"/>
      <c r="S82" s="48"/>
      <c r="T82" s="48"/>
      <c r="U82" s="48"/>
      <c r="V82" s="48"/>
      <c r="W82" s="48"/>
    </row>
    <row r="83" spans="1:23" ht="15.4" customHeight="1" x14ac:dyDescent="0.25">
      <c r="A83" s="612" t="s">
        <v>54</v>
      </c>
      <c r="B83" s="426" t="str">
        <f t="shared" si="7"/>
        <v>Công trình hạ tầng kỹ thuật</v>
      </c>
      <c r="C83" s="452">
        <v>3.6600000000000001E-2</v>
      </c>
      <c r="D83" s="452">
        <v>2.46E-2</v>
      </c>
      <c r="E83" s="452">
        <v>1.8599999999999998E-2</v>
      </c>
      <c r="F83" s="452">
        <v>1.41E-2</v>
      </c>
      <c r="G83" s="452">
        <v>1.11E-2</v>
      </c>
      <c r="H83" s="452">
        <v>8.6999999999999994E-3</v>
      </c>
      <c r="I83" s="452">
        <v>7.1999999999999998E-3</v>
      </c>
      <c r="J83" s="452">
        <v>5.1000000000000004E-3</v>
      </c>
      <c r="K83" s="452">
        <v>4.3E-3</v>
      </c>
      <c r="L83" s="399">
        <f t="shared" si="8"/>
        <v>3.6600000000000001E-2</v>
      </c>
      <c r="M83" s="34">
        <f>IF(M$71=15,C83,HLOOKUP($M$71,$D$71:$K$83,13,TRUE))</f>
        <v>3.6600000000000001E-2</v>
      </c>
      <c r="N83" s="433">
        <f>IF(N$71=15,C83,HLOOKUP($N$71,$D$71:$K$83,13,TRUE))</f>
        <v>3.6600000000000001E-2</v>
      </c>
      <c r="O83" s="48"/>
      <c r="P83" s="48"/>
      <c r="Q83" s="48"/>
      <c r="R83" s="48"/>
      <c r="S83" s="48"/>
      <c r="T83" s="48"/>
      <c r="U83" s="48"/>
      <c r="V83" s="48"/>
      <c r="W83" s="48"/>
    </row>
    <row r="84" spans="1:23" ht="12.75" hidden="1" customHeight="1" x14ac:dyDescent="0.25">
      <c r="A84" s="48" t="s">
        <v>517</v>
      </c>
      <c r="B84" s="48"/>
      <c r="C84" s="48"/>
      <c r="D84" s="48"/>
      <c r="E84" s="48"/>
      <c r="F84" s="48"/>
      <c r="G84" s="48"/>
      <c r="H84" s="48"/>
      <c r="I84" s="48"/>
      <c r="J84" s="48"/>
      <c r="K84" s="48"/>
      <c r="L84" s="48"/>
      <c r="M84" s="560">
        <f>IF(M$71=15,C84,HLOOKUP($M$71,$D$71:$K$83,2,TRUE))</f>
        <v>0</v>
      </c>
      <c r="N84" s="48"/>
      <c r="O84" s="48"/>
      <c r="P84" s="48"/>
      <c r="Q84" s="48"/>
      <c r="R84" s="48"/>
      <c r="S84" s="48"/>
      <c r="T84" s="48"/>
      <c r="U84" s="48"/>
      <c r="V84" s="48"/>
      <c r="W84" s="48"/>
    </row>
    <row r="85" spans="1:23" ht="15.4"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row>
    <row r="86" spans="1:23" ht="15.4" customHeight="1" x14ac:dyDescent="0.25">
      <c r="A86" s="1133" t="s">
        <v>565</v>
      </c>
      <c r="B86" s="1133"/>
      <c r="C86" s="1133"/>
      <c r="D86" s="1133"/>
      <c r="E86" s="1133"/>
      <c r="F86" s="1133"/>
      <c r="G86" s="1133"/>
      <c r="H86" s="1133"/>
      <c r="I86" s="1133"/>
      <c r="J86" s="1133"/>
      <c r="K86" s="1133"/>
      <c r="L86" s="1133"/>
      <c r="M86" s="1133"/>
      <c r="N86" s="1133"/>
      <c r="O86" s="48"/>
      <c r="P86" s="48"/>
      <c r="Q86" s="48"/>
      <c r="R86" s="48"/>
      <c r="S86" s="48"/>
      <c r="T86" s="48"/>
      <c r="U86" s="48"/>
      <c r="V86" s="48"/>
      <c r="W86" s="48"/>
    </row>
    <row r="87" spans="1:23" ht="15.4" customHeight="1" x14ac:dyDescent="0.25">
      <c r="A87" s="1133" t="s">
        <v>451</v>
      </c>
      <c r="B87" s="1133"/>
      <c r="C87" s="1133"/>
      <c r="D87" s="1133"/>
      <c r="E87" s="1133"/>
      <c r="F87" s="1133"/>
      <c r="G87" s="1133"/>
      <c r="H87" s="1133"/>
      <c r="I87" s="1133"/>
      <c r="J87" s="1133"/>
      <c r="K87" s="1133"/>
      <c r="L87" s="1133"/>
      <c r="M87" s="1133"/>
      <c r="N87" s="1133"/>
      <c r="O87" s="48"/>
      <c r="P87" s="48"/>
      <c r="Q87" s="48"/>
      <c r="R87" s="48"/>
      <c r="S87" s="48"/>
      <c r="T87" s="48"/>
      <c r="U87" s="48"/>
      <c r="V87" s="48"/>
      <c r="W87" s="48"/>
    </row>
    <row r="88" spans="1:23" ht="15.4"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row>
    <row r="89" spans="1:23" ht="15.4" customHeight="1" x14ac:dyDescent="0.25">
      <c r="A89" s="1272"/>
      <c r="B89" s="1272"/>
      <c r="C89" s="1272"/>
      <c r="D89" s="1272"/>
      <c r="E89" s="1272"/>
      <c r="F89" s="1272"/>
      <c r="G89" s="1272"/>
      <c r="H89" s="1272"/>
      <c r="I89" s="1272"/>
      <c r="J89" s="1272"/>
      <c r="K89" s="1272"/>
      <c r="L89" s="1272"/>
      <c r="M89" s="1272"/>
      <c r="N89" s="1272"/>
      <c r="O89" s="1272"/>
      <c r="P89" s="48"/>
      <c r="Q89" s="48"/>
      <c r="R89" s="48"/>
      <c r="S89" s="48"/>
      <c r="T89" s="48"/>
      <c r="U89" s="48"/>
      <c r="V89" s="48"/>
      <c r="W89" s="48"/>
    </row>
    <row r="90" spans="1:23" ht="15.4" customHeight="1" x14ac:dyDescent="0.25">
      <c r="A90" s="1283" t="s">
        <v>901</v>
      </c>
      <c r="B90" s="1283"/>
      <c r="C90" s="1283"/>
      <c r="D90" s="1283"/>
      <c r="E90" s="1283"/>
      <c r="F90" s="1283"/>
      <c r="G90" s="1283"/>
      <c r="H90" s="1283"/>
      <c r="I90" s="1283"/>
      <c r="J90" s="1283"/>
      <c r="K90" s="1283"/>
      <c r="L90" s="1283"/>
      <c r="M90" s="1283"/>
      <c r="N90" s="1283"/>
      <c r="O90" s="681"/>
      <c r="P90" s="48"/>
      <c r="Q90" s="48"/>
      <c r="R90" s="48"/>
      <c r="S90" s="48"/>
      <c r="T90" s="48"/>
      <c r="U90" s="48"/>
      <c r="V90" s="48"/>
      <c r="W90" s="48"/>
    </row>
    <row r="91" spans="1:23" ht="15.4" customHeight="1" x14ac:dyDescent="0.25">
      <c r="A91" s="48"/>
      <c r="B91" s="48"/>
      <c r="C91" s="48"/>
      <c r="D91" s="48"/>
      <c r="E91" s="48"/>
      <c r="F91" s="48"/>
      <c r="G91" s="48"/>
      <c r="H91" s="48"/>
      <c r="I91" s="1133" t="s">
        <v>681</v>
      </c>
      <c r="J91" s="1133"/>
      <c r="K91" s="1133"/>
      <c r="L91" s="1133"/>
      <c r="M91" s="817"/>
      <c r="N91" s="817"/>
      <c r="O91" s="48"/>
      <c r="P91" s="48"/>
      <c r="Q91" s="48"/>
      <c r="R91" s="48"/>
      <c r="S91" s="48"/>
      <c r="T91" s="48"/>
      <c r="U91" s="48"/>
      <c r="V91" s="48"/>
      <c r="W91" s="48"/>
    </row>
    <row r="92" spans="1:23" ht="12.75" hidden="1" customHeight="1" x14ac:dyDescent="0.25">
      <c r="A92" s="48" t="s">
        <v>499</v>
      </c>
      <c r="B92" s="48"/>
      <c r="C92" s="48"/>
      <c r="D92" s="48"/>
      <c r="E92" s="48"/>
      <c r="F92" s="48"/>
      <c r="G92" s="48"/>
      <c r="H92" s="48"/>
      <c r="I92" s="48" t="s">
        <v>1080</v>
      </c>
      <c r="J92" s="48"/>
      <c r="K92" s="48"/>
      <c r="L92" s="48"/>
      <c r="M92" s="48"/>
      <c r="N92" s="48"/>
      <c r="O92" s="48"/>
      <c r="P92" s="48"/>
      <c r="Q92" s="48"/>
      <c r="R92" s="48"/>
      <c r="S92" s="48"/>
      <c r="T92" s="48"/>
      <c r="U92" s="48"/>
      <c r="V92" s="48"/>
      <c r="W92" s="48"/>
    </row>
    <row r="93" spans="1:23" ht="46.5" customHeight="1" x14ac:dyDescent="0.25">
      <c r="A93" s="1279" t="s">
        <v>172</v>
      </c>
      <c r="B93" s="1279" t="s">
        <v>589</v>
      </c>
      <c r="C93" s="1277" t="s">
        <v>227</v>
      </c>
      <c r="D93" s="1278"/>
      <c r="E93" s="1278"/>
      <c r="F93" s="1278"/>
      <c r="G93" s="1278"/>
      <c r="H93" s="1278"/>
      <c r="I93" s="1278"/>
      <c r="J93" s="539" t="s">
        <v>823</v>
      </c>
      <c r="K93" s="178" t="s">
        <v>628</v>
      </c>
      <c r="L93" s="195" t="s">
        <v>298</v>
      </c>
      <c r="M93" s="48"/>
      <c r="N93" s="48"/>
      <c r="O93" s="48"/>
      <c r="P93" s="48"/>
      <c r="Q93" s="48"/>
      <c r="R93" s="48"/>
      <c r="S93" s="48"/>
      <c r="T93" s="48"/>
      <c r="U93" s="48"/>
      <c r="V93" s="48"/>
      <c r="W93" s="48"/>
    </row>
    <row r="94" spans="1:23" ht="15.4" customHeight="1" x14ac:dyDescent="0.25">
      <c r="A94" s="1279"/>
      <c r="B94" s="1279"/>
      <c r="C94" s="50" t="s">
        <v>106</v>
      </c>
      <c r="D94" s="50">
        <v>50</v>
      </c>
      <c r="E94" s="50">
        <v>100</v>
      </c>
      <c r="F94" s="50">
        <v>500</v>
      </c>
      <c r="G94" s="142">
        <v>1000</v>
      </c>
      <c r="H94" s="142">
        <v>5000</v>
      </c>
      <c r="I94" s="142">
        <v>10000</v>
      </c>
      <c r="J94" s="315">
        <f>$C$7</f>
        <v>1.1435271830114</v>
      </c>
      <c r="K94" s="848">
        <f>IF(J94&lt;D94,15,IF(J94&gt;I94,I94,HLOOKUP(J94,D94:I94,1)))</f>
        <v>15</v>
      </c>
      <c r="L94" s="867">
        <f>IF(J94&lt;15,15,IF(J94&lt;50,50,IF(J94&gt;I94,I94,INDEX(D94:I94,MATCH(J94,D94:I94,1)+1))))</f>
        <v>15</v>
      </c>
      <c r="M94" s="48"/>
      <c r="N94" s="48"/>
      <c r="O94" s="48"/>
      <c r="P94" s="48"/>
      <c r="Q94" s="48"/>
      <c r="R94" s="48"/>
      <c r="S94" s="48"/>
      <c r="T94" s="48"/>
      <c r="U94" s="48"/>
      <c r="V94" s="48"/>
      <c r="W94" s="48"/>
    </row>
    <row r="95" spans="1:23" ht="15.4" customHeight="1" x14ac:dyDescent="0.25">
      <c r="A95" s="612">
        <v>1</v>
      </c>
      <c r="B95" s="426" t="str">
        <f t="shared" ref="B95:B97" si="9">B48</f>
        <v>Công trình dân dụng</v>
      </c>
      <c r="C95" s="350">
        <v>0.12278</v>
      </c>
      <c r="D95" s="350">
        <v>5.4239999999999997E-2</v>
      </c>
      <c r="E95" s="350">
        <v>3.7569999999999999E-2</v>
      </c>
      <c r="F95" s="350">
        <v>9.5999999999999992E-3</v>
      </c>
      <c r="G95" s="350">
        <v>5.9800000000000001E-3</v>
      </c>
      <c r="H95" s="350">
        <v>1.4400000000000001E-3</v>
      </c>
      <c r="I95" s="350">
        <v>7.6999999999999996E-4</v>
      </c>
      <c r="J95" s="675">
        <f t="shared" ref="J95:J98" si="10">IF(L$94=K$94,K95,ROUND(K95-((K95-L95)/(L$94-K$94))*(J$94-K$94),5))</f>
        <v>0.12278</v>
      </c>
      <c r="K95" s="304">
        <f>IF(K$94=15,C95,HLOOKUP($K$94,$D$94:$I$98,2,TRUE))</f>
        <v>0.12278</v>
      </c>
      <c r="L95" s="327">
        <f>IF(L$94=15,C95,HLOOKUP($L$94,$D$94:$I$98,2,TRUE))</f>
        <v>0.12278</v>
      </c>
      <c r="M95" s="48"/>
      <c r="N95" s="48"/>
      <c r="O95" s="48"/>
      <c r="P95" s="48"/>
      <c r="Q95" s="48"/>
      <c r="R95" s="48"/>
      <c r="S95" s="48"/>
      <c r="T95" s="48"/>
      <c r="U95" s="48"/>
      <c r="V95" s="48"/>
      <c r="W95" s="48"/>
    </row>
    <row r="96" spans="1:23" ht="15.4" customHeight="1" x14ac:dyDescent="0.25">
      <c r="A96" s="612">
        <v>2</v>
      </c>
      <c r="B96" s="426" t="str">
        <f t="shared" si="9"/>
        <v>Công trình công nghiệp</v>
      </c>
      <c r="C96" s="350">
        <v>0.11401</v>
      </c>
      <c r="D96" s="350">
        <v>5.0369999999999998E-2</v>
      </c>
      <c r="E96" s="350">
        <v>3.4889999999999997E-2</v>
      </c>
      <c r="F96" s="350">
        <v>8.9200000000000008E-3</v>
      </c>
      <c r="G96" s="350">
        <v>5.5500000000000002E-3</v>
      </c>
      <c r="H96" s="350">
        <v>1.34E-3</v>
      </c>
      <c r="I96" s="350">
        <v>7.2000000000000005E-4</v>
      </c>
      <c r="J96" s="675">
        <f t="shared" si="10"/>
        <v>0.11401</v>
      </c>
      <c r="K96" s="304">
        <f>IF(K$94=15,C96,HLOOKUP($K$94,$D$94:$I$98,3,TRUE))</f>
        <v>0.11401</v>
      </c>
      <c r="L96" s="327">
        <f>IF(L$94=15,C96,HLOOKUP($L$94,$D$94:$I$98,3,TRUE))</f>
        <v>0.11401</v>
      </c>
      <c r="M96" s="48"/>
      <c r="N96" s="48"/>
      <c r="O96" s="48"/>
      <c r="P96" s="48"/>
      <c r="Q96" s="48"/>
      <c r="R96" s="48"/>
      <c r="S96" s="48"/>
      <c r="T96" s="48"/>
      <c r="U96" s="48"/>
      <c r="V96" s="48"/>
      <c r="W96" s="48"/>
    </row>
    <row r="97" spans="1:23" ht="15.4" customHeight="1" x14ac:dyDescent="0.25">
      <c r="A97" s="612">
        <v>3</v>
      </c>
      <c r="B97" s="426" t="str">
        <f t="shared" si="9"/>
        <v>Công trình giao thông</v>
      </c>
      <c r="C97" s="350">
        <v>9.647E-2</v>
      </c>
      <c r="D97" s="350">
        <v>4.2619999999999998E-2</v>
      </c>
      <c r="E97" s="350">
        <v>2.9520000000000001E-2</v>
      </c>
      <c r="F97" s="350">
        <v>7.5500000000000003E-3</v>
      </c>
      <c r="G97" s="350">
        <v>4.7000000000000002E-3</v>
      </c>
      <c r="H97" s="350">
        <v>1.1299999999999999E-3</v>
      </c>
      <c r="I97" s="350">
        <v>6.0999999999999997E-4</v>
      </c>
      <c r="J97" s="675">
        <f t="shared" si="10"/>
        <v>9.647E-2</v>
      </c>
      <c r="K97" s="304">
        <f>IF(K$94=15,C97,HLOOKUP($K$94,$D$94:$I$98,4,TRUE))</f>
        <v>9.647E-2</v>
      </c>
      <c r="L97" s="327">
        <f>IF(L$94=15,C97,HLOOKUP($L$94,$D$94:$I$98,4,TRUE))</f>
        <v>9.647E-2</v>
      </c>
      <c r="M97" s="48"/>
      <c r="N97" s="48"/>
      <c r="O97" s="48"/>
      <c r="P97" s="48"/>
      <c r="Q97" s="48"/>
      <c r="R97" s="48"/>
      <c r="S97" s="48"/>
      <c r="T97" s="48"/>
      <c r="U97" s="48"/>
      <c r="V97" s="48"/>
      <c r="W97" s="48"/>
    </row>
    <row r="98" spans="1:23" ht="15.4" customHeight="1" x14ac:dyDescent="0.25">
      <c r="A98" s="612">
        <v>5</v>
      </c>
      <c r="B98" s="426" t="str">
        <f>B52</f>
        <v>Công trình hạ tầng kỹ thuật</v>
      </c>
      <c r="C98" s="350">
        <v>8.77E-2</v>
      </c>
      <c r="D98" s="350">
        <v>3.8739999999999997E-2</v>
      </c>
      <c r="E98" s="350">
        <v>2.6839999999999999E-2</v>
      </c>
      <c r="F98" s="350">
        <v>6.8599999999999998E-3</v>
      </c>
      <c r="G98" s="350">
        <v>4.2700000000000004E-3</v>
      </c>
      <c r="H98" s="350">
        <v>1.0300000000000001E-3</v>
      </c>
      <c r="I98" s="350">
        <v>5.5000000000000003E-4</v>
      </c>
      <c r="J98" s="675">
        <f t="shared" si="10"/>
        <v>8.77E-2</v>
      </c>
      <c r="K98" s="304">
        <f>IF(K$94=15,C98,HLOOKUP($K$94,$D$94:$I$98,5,TRUE))</f>
        <v>8.77E-2</v>
      </c>
      <c r="L98" s="327">
        <f>IF(L$94=15,C98,HLOOKUP($L$94,$D$94:$I$98,5,TRUE))</f>
        <v>8.77E-2</v>
      </c>
      <c r="M98" s="48"/>
      <c r="N98" s="48"/>
      <c r="O98" s="48"/>
      <c r="P98" s="48"/>
      <c r="Q98" s="48"/>
      <c r="R98" s="48"/>
      <c r="S98" s="48"/>
      <c r="T98" s="48"/>
      <c r="U98" s="48"/>
      <c r="V98" s="48"/>
      <c r="W98" s="48"/>
    </row>
    <row r="99" spans="1:23" ht="12.75" hidden="1" customHeight="1" x14ac:dyDescent="0.25">
      <c r="A99" s="48" t="s">
        <v>526</v>
      </c>
      <c r="B99" s="48"/>
      <c r="C99" s="48"/>
      <c r="D99" s="48"/>
      <c r="E99" s="48"/>
      <c r="F99" s="48"/>
      <c r="G99" s="48"/>
      <c r="H99" s="48"/>
      <c r="I99" s="48"/>
      <c r="J99" s="48"/>
      <c r="K99" s="48"/>
      <c r="L99" s="48"/>
      <c r="M99" s="48"/>
      <c r="N99" s="48"/>
      <c r="O99" s="48"/>
      <c r="P99" s="48"/>
      <c r="Q99" s="48"/>
      <c r="R99" s="48"/>
      <c r="S99" s="48"/>
      <c r="T99" s="48"/>
      <c r="U99" s="48"/>
      <c r="V99" s="48"/>
      <c r="W99" s="48"/>
    </row>
    <row r="100" spans="1:23" ht="15.4"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row>
    <row r="101" spans="1:23" ht="15.4" customHeight="1" x14ac:dyDescent="0.25">
      <c r="A101" s="1133" t="s">
        <v>243</v>
      </c>
      <c r="B101" s="1133"/>
      <c r="C101" s="1133"/>
      <c r="D101" s="1133"/>
      <c r="E101" s="1133"/>
      <c r="F101" s="1133"/>
      <c r="G101" s="1133"/>
      <c r="H101" s="1133"/>
      <c r="I101" s="1133"/>
      <c r="J101" s="1133"/>
      <c r="K101" s="1133"/>
      <c r="L101" s="1133"/>
      <c r="M101" s="1133"/>
      <c r="N101" s="1133"/>
      <c r="O101" s="48"/>
      <c r="P101" s="48"/>
      <c r="Q101" s="48"/>
      <c r="R101" s="48"/>
      <c r="S101" s="48"/>
      <c r="T101" s="48"/>
      <c r="U101" s="48"/>
      <c r="V101" s="48"/>
      <c r="W101" s="48"/>
    </row>
    <row r="102" spans="1:23" ht="15.4" customHeight="1" x14ac:dyDescent="0.25">
      <c r="A102" s="1133" t="s">
        <v>1213</v>
      </c>
      <c r="B102" s="1133"/>
      <c r="C102" s="1133"/>
      <c r="D102" s="1133"/>
      <c r="E102" s="1133"/>
      <c r="F102" s="1133"/>
      <c r="G102" s="1133"/>
      <c r="H102" s="1133"/>
      <c r="I102" s="1133"/>
      <c r="J102" s="1133"/>
      <c r="K102" s="1133"/>
      <c r="L102" s="1133"/>
      <c r="M102" s="1133"/>
      <c r="N102" s="1133"/>
      <c r="O102" s="48"/>
      <c r="P102" s="48"/>
      <c r="Q102" s="48"/>
      <c r="R102" s="48"/>
      <c r="S102" s="48"/>
      <c r="T102" s="48"/>
      <c r="U102" s="48"/>
      <c r="V102" s="48"/>
      <c r="W102" s="48"/>
    </row>
    <row r="103" spans="1:23" ht="15.4"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row>
    <row r="104" spans="1:23" ht="15.4" customHeight="1" x14ac:dyDescent="0.25">
      <c r="A104" s="1272" t="s">
        <v>1016</v>
      </c>
      <c r="B104" s="1272"/>
      <c r="C104" s="1272"/>
      <c r="D104" s="1272"/>
      <c r="E104" s="1272"/>
      <c r="F104" s="1272"/>
      <c r="G104" s="1272"/>
      <c r="H104" s="1272"/>
      <c r="I104" s="1272"/>
      <c r="J104" s="1272"/>
      <c r="K104" s="1272"/>
      <c r="L104" s="1272"/>
      <c r="M104" s="1272"/>
      <c r="N104" s="48"/>
      <c r="O104" s="48"/>
      <c r="P104" s="48"/>
      <c r="Q104" s="48"/>
      <c r="R104" s="48"/>
      <c r="S104" s="48"/>
      <c r="T104" s="48"/>
      <c r="U104" s="48"/>
      <c r="V104" s="48"/>
      <c r="W104" s="48"/>
    </row>
    <row r="105" spans="1:23" ht="12.75" hidden="1" customHeight="1" x14ac:dyDescent="0.25">
      <c r="A105" s="48" t="s">
        <v>884</v>
      </c>
      <c r="B105" s="48"/>
      <c r="C105" s="48"/>
      <c r="D105" s="48"/>
      <c r="E105" s="48"/>
      <c r="F105" s="48"/>
      <c r="G105" s="48"/>
      <c r="H105" s="48"/>
      <c r="I105" s="48" t="s">
        <v>1080</v>
      </c>
      <c r="J105" s="48"/>
      <c r="K105" s="817"/>
      <c r="L105" s="48"/>
      <c r="M105" s="817"/>
      <c r="N105" s="48"/>
      <c r="O105" s="48"/>
      <c r="P105" s="48"/>
      <c r="Q105" s="48"/>
      <c r="R105" s="48"/>
      <c r="S105" s="48"/>
      <c r="T105" s="48"/>
      <c r="U105" s="48"/>
      <c r="V105" s="48"/>
      <c r="W105" s="48"/>
    </row>
    <row r="106" spans="1:23" ht="15.4" customHeight="1" x14ac:dyDescent="0.25">
      <c r="A106" s="48"/>
      <c r="B106" s="48"/>
      <c r="C106" s="48"/>
      <c r="D106" s="48"/>
      <c r="E106" s="48"/>
      <c r="F106" s="48"/>
      <c r="G106" s="48"/>
      <c r="H106" s="48"/>
      <c r="I106" s="48"/>
      <c r="J106" s="539" t="s">
        <v>823</v>
      </c>
      <c r="K106" s="178" t="s">
        <v>628</v>
      </c>
      <c r="L106" s="195" t="s">
        <v>298</v>
      </c>
      <c r="M106" s="48"/>
      <c r="N106" s="48"/>
      <c r="O106" s="48"/>
      <c r="P106" s="48"/>
      <c r="Q106" s="48"/>
      <c r="R106" s="48"/>
      <c r="S106" s="48"/>
      <c r="T106" s="48"/>
      <c r="U106" s="48"/>
      <c r="V106" s="48"/>
      <c r="W106" s="48"/>
    </row>
    <row r="107" spans="1:23" ht="30.75" customHeight="1" x14ac:dyDescent="0.25">
      <c r="A107" s="50" t="s">
        <v>172</v>
      </c>
      <c r="B107" s="558" t="s">
        <v>351</v>
      </c>
      <c r="C107" s="50" t="s">
        <v>435</v>
      </c>
      <c r="D107" s="50">
        <v>10</v>
      </c>
      <c r="E107" s="50">
        <v>50</v>
      </c>
      <c r="F107" s="50">
        <v>100</v>
      </c>
      <c r="G107" s="50">
        <v>500</v>
      </c>
      <c r="H107" s="50">
        <v>1000</v>
      </c>
      <c r="I107" s="142">
        <v>10000</v>
      </c>
      <c r="J107" s="315">
        <f>$C$6</f>
        <v>1.1435271830114</v>
      </c>
      <c r="K107" s="848">
        <f>IF(J107&lt;D107,5,IF(J107&gt;I107,I107,HLOOKUP(J107,D107:I107,1)))</f>
        <v>5</v>
      </c>
      <c r="L107" s="867">
        <f>IF(J107&lt;5,5,IF(J107&lt;10,10,IF(J107&gt;I107,I107,INDEX(D107:I107,MATCH(J107,D107:I107,1)+1))))</f>
        <v>5</v>
      </c>
      <c r="M107" s="691"/>
      <c r="N107" s="518"/>
      <c r="O107" s="48"/>
      <c r="P107" s="48"/>
      <c r="Q107" s="48"/>
      <c r="R107" s="48"/>
      <c r="S107" s="48"/>
      <c r="T107" s="48"/>
      <c r="U107" s="48"/>
      <c r="V107" s="48"/>
      <c r="W107" s="48"/>
    </row>
    <row r="108" spans="1:23" ht="15.4" customHeight="1" x14ac:dyDescent="0.25">
      <c r="A108" s="612">
        <v>1</v>
      </c>
      <c r="B108" s="426" t="s">
        <v>446</v>
      </c>
      <c r="C108" s="56">
        <v>0.95</v>
      </c>
      <c r="D108" s="56">
        <v>0.65</v>
      </c>
      <c r="E108" s="56">
        <v>0.47499999999999998</v>
      </c>
      <c r="F108" s="56">
        <v>0.375</v>
      </c>
      <c r="G108" s="56">
        <v>0.22500000000000001</v>
      </c>
      <c r="H108" s="56">
        <v>0.15</v>
      </c>
      <c r="I108" s="56">
        <v>0.08</v>
      </c>
      <c r="J108" s="903">
        <f>IF(L$107=K$107,K108,ROUND(K108-((K108-L108)/(L$107-K$107))*(J$107-K$107),3))</f>
        <v>0.95</v>
      </c>
      <c r="K108" s="560">
        <f>IF(K$107=5,C108,HLOOKUP($K$107,$D$107:$I$108,2,TRUE))</f>
        <v>0.95</v>
      </c>
      <c r="L108" s="36">
        <f>IF(L$107=5,C108,HLOOKUP($L$107,$D$107:$I$108,2,TRUE))</f>
        <v>0.95</v>
      </c>
      <c r="M108" s="434"/>
      <c r="N108" s="434"/>
      <c r="O108" s="48"/>
      <c r="P108" s="48"/>
      <c r="Q108" s="48"/>
      <c r="R108" s="48"/>
      <c r="S108" s="48"/>
      <c r="T108" s="48"/>
      <c r="U108" s="48"/>
      <c r="V108" s="48"/>
      <c r="W108" s="48"/>
    </row>
    <row r="109" spans="1:23" ht="12.75" hidden="1" customHeight="1" x14ac:dyDescent="0.25">
      <c r="A109" s="228" t="s">
        <v>913</v>
      </c>
      <c r="B109" s="48"/>
      <c r="C109" s="48"/>
      <c r="D109" s="48"/>
      <c r="E109" s="48"/>
      <c r="F109" s="48"/>
      <c r="G109" s="48"/>
      <c r="H109" s="48"/>
      <c r="I109" s="48"/>
      <c r="J109" s="48"/>
      <c r="K109" s="48"/>
      <c r="L109" s="48"/>
      <c r="M109" s="48"/>
      <c r="N109" s="48"/>
      <c r="O109" s="48"/>
      <c r="P109" s="48"/>
      <c r="Q109" s="48"/>
      <c r="R109" s="48"/>
      <c r="S109" s="48"/>
      <c r="T109" s="48"/>
      <c r="U109" s="48"/>
      <c r="V109" s="48"/>
      <c r="W109" s="48"/>
    </row>
    <row r="110" spans="1:23" ht="15.4"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row>
    <row r="111" spans="1:23" ht="15.4" customHeight="1" x14ac:dyDescent="0.25">
      <c r="A111" s="1272" t="s">
        <v>78</v>
      </c>
      <c r="B111" s="1272"/>
      <c r="C111" s="1272"/>
      <c r="D111" s="1272"/>
      <c r="E111" s="1272"/>
      <c r="F111" s="1272"/>
      <c r="G111" s="1272"/>
      <c r="H111" s="1272"/>
      <c r="I111" s="1272"/>
      <c r="J111" s="1272"/>
      <c r="K111" s="1272"/>
      <c r="L111" s="1272"/>
      <c r="M111" s="1272"/>
      <c r="N111" s="48"/>
      <c r="O111" s="48"/>
      <c r="P111" s="48"/>
      <c r="Q111" s="48"/>
      <c r="R111" s="48"/>
      <c r="S111" s="48"/>
      <c r="T111" s="48"/>
      <c r="U111" s="48"/>
      <c r="V111" s="48"/>
      <c r="W111" s="48"/>
    </row>
    <row r="112" spans="1:23" ht="12.75" hidden="1" customHeight="1" x14ac:dyDescent="0.25">
      <c r="A112" s="48" t="s">
        <v>843</v>
      </c>
      <c r="B112" s="48"/>
      <c r="C112" s="48"/>
      <c r="D112" s="48"/>
      <c r="E112" s="48"/>
      <c r="F112" s="48"/>
      <c r="G112" s="48"/>
      <c r="H112" s="48"/>
      <c r="I112" s="48" t="s">
        <v>1080</v>
      </c>
      <c r="J112" s="48"/>
      <c r="K112" s="817"/>
      <c r="L112" s="48"/>
      <c r="M112" s="817"/>
      <c r="N112" s="48"/>
      <c r="O112" s="48"/>
      <c r="P112" s="48"/>
      <c r="Q112" s="48"/>
      <c r="R112" s="48"/>
      <c r="S112" s="48"/>
      <c r="T112" s="48"/>
      <c r="U112" s="48"/>
      <c r="V112" s="48"/>
      <c r="W112" s="48"/>
    </row>
    <row r="113" spans="1:23" ht="15.4" customHeight="1" x14ac:dyDescent="0.25">
      <c r="A113" s="48"/>
      <c r="B113" s="48"/>
      <c r="C113" s="48"/>
      <c r="D113" s="48"/>
      <c r="E113" s="48"/>
      <c r="F113" s="48"/>
      <c r="G113" s="48"/>
      <c r="H113" s="48"/>
      <c r="I113" s="48"/>
      <c r="J113" s="539" t="s">
        <v>823</v>
      </c>
      <c r="K113" s="178" t="s">
        <v>628</v>
      </c>
      <c r="L113" s="195" t="s">
        <v>298</v>
      </c>
      <c r="M113" s="48"/>
      <c r="N113" s="48"/>
      <c r="O113" s="48"/>
      <c r="P113" s="48"/>
      <c r="Q113" s="48"/>
      <c r="R113" s="48"/>
      <c r="S113" s="48"/>
      <c r="T113" s="48"/>
      <c r="U113" s="48"/>
      <c r="V113" s="48"/>
      <c r="W113" s="48"/>
    </row>
    <row r="114" spans="1:23" ht="30.75" customHeight="1" x14ac:dyDescent="0.25">
      <c r="A114" s="50" t="s">
        <v>172</v>
      </c>
      <c r="B114" s="558" t="s">
        <v>351</v>
      </c>
      <c r="C114" s="50" t="s">
        <v>435</v>
      </c>
      <c r="D114" s="50">
        <v>10</v>
      </c>
      <c r="E114" s="50">
        <v>50</v>
      </c>
      <c r="F114" s="50">
        <v>100</v>
      </c>
      <c r="G114" s="50">
        <v>500</v>
      </c>
      <c r="H114" s="50">
        <v>1000</v>
      </c>
      <c r="I114" s="142">
        <v>10000</v>
      </c>
      <c r="J114" s="315">
        <f>$C$6</f>
        <v>1.1435271830114</v>
      </c>
      <c r="K114" s="848">
        <f>IF(J114&lt;D114,5,IF(J114&gt;I114,I114,HLOOKUP(J114,D114:I114,1)))</f>
        <v>5</v>
      </c>
      <c r="L114" s="867">
        <f>IF(J114&lt;5,5,IF(J114&lt;10,10,IF(J114&gt;I114,I114,INDEX(D114:I114,MATCH(J114,D114:I114,1)+1))))</f>
        <v>5</v>
      </c>
      <c r="M114" s="691"/>
      <c r="N114" s="518"/>
      <c r="O114" s="48"/>
      <c r="P114" s="48"/>
      <c r="Q114" s="48"/>
      <c r="R114" s="48"/>
      <c r="S114" s="48"/>
      <c r="T114" s="48"/>
      <c r="U114" s="48"/>
      <c r="V114" s="48"/>
      <c r="W114" s="48"/>
    </row>
    <row r="115" spans="1:23" ht="15.4" customHeight="1" x14ac:dyDescent="0.25">
      <c r="A115" s="612">
        <v>1</v>
      </c>
      <c r="B115" s="426" t="s">
        <v>664</v>
      </c>
      <c r="C115" s="56">
        <v>1.6</v>
      </c>
      <c r="D115" s="56">
        <v>1.075</v>
      </c>
      <c r="E115" s="56">
        <v>0.75</v>
      </c>
      <c r="F115" s="56">
        <v>0.57499999999999996</v>
      </c>
      <c r="G115" s="56">
        <v>0.32500000000000001</v>
      </c>
      <c r="H115" s="56">
        <v>0.215</v>
      </c>
      <c r="I115" s="56">
        <v>0.115</v>
      </c>
      <c r="J115" s="903">
        <f>IF(L$114=K$114,K115,ROUND(K115-((K115-L115)/(L$114-K$114))*(J$114-K$114),3))</f>
        <v>1.6</v>
      </c>
      <c r="K115" s="560">
        <f>IF(K$114=5,C115,HLOOKUP($K$114,$D$114:$I$115,2,TRUE))</f>
        <v>1.6</v>
      </c>
      <c r="L115" s="36">
        <f>IF(L$114=5,C115,HLOOKUP($L$114,$D$114:$I$115,2,TRUE))</f>
        <v>1.6</v>
      </c>
      <c r="M115" s="48"/>
      <c r="N115" s="48"/>
      <c r="O115" s="48"/>
      <c r="P115" s="48"/>
      <c r="Q115" s="48"/>
      <c r="R115" s="48"/>
      <c r="S115" s="48"/>
      <c r="T115" s="48"/>
      <c r="U115" s="48"/>
      <c r="V115" s="48"/>
      <c r="W115" s="48"/>
    </row>
    <row r="116" spans="1:23" ht="12.75" hidden="1" customHeight="1" x14ac:dyDescent="0.25">
      <c r="A116" s="228" t="s">
        <v>874</v>
      </c>
      <c r="B116" s="48"/>
      <c r="C116" s="48"/>
      <c r="D116" s="48"/>
      <c r="E116" s="48"/>
      <c r="F116" s="48"/>
      <c r="G116" s="48"/>
      <c r="H116" s="48"/>
      <c r="I116" s="48"/>
      <c r="J116" s="48"/>
      <c r="K116" s="48"/>
      <c r="L116" s="48"/>
      <c r="M116" s="48"/>
      <c r="N116" s="48"/>
      <c r="O116" s="48"/>
      <c r="P116" s="48"/>
      <c r="Q116" s="48"/>
      <c r="R116" s="48"/>
      <c r="S116" s="48"/>
      <c r="T116" s="48"/>
      <c r="U116" s="48"/>
      <c r="V116" s="48"/>
      <c r="W116" s="48"/>
    </row>
    <row r="117" spans="1:23" ht="15.4"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row>
    <row r="118" spans="1:23" ht="15.4" customHeight="1" x14ac:dyDescent="0.25">
      <c r="A118" s="1133" t="s">
        <v>1343</v>
      </c>
      <c r="B118" s="1133"/>
      <c r="C118" s="1133"/>
      <c r="D118" s="1133"/>
      <c r="E118" s="1133"/>
      <c r="F118" s="1133"/>
      <c r="G118" s="1133"/>
      <c r="H118" s="1133"/>
      <c r="I118" s="1133"/>
      <c r="J118" s="1133"/>
      <c r="K118" s="1133"/>
      <c r="L118" s="1133"/>
      <c r="M118" s="1133"/>
      <c r="N118" s="1133"/>
      <c r="O118" s="48"/>
      <c r="P118" s="48"/>
      <c r="Q118" s="48"/>
      <c r="R118" s="48"/>
      <c r="S118" s="48"/>
      <c r="T118" s="48"/>
      <c r="U118" s="48"/>
      <c r="V118" s="48"/>
      <c r="W118" s="48"/>
    </row>
    <row r="119" spans="1:23" ht="44.25" customHeight="1" x14ac:dyDescent="0.25">
      <c r="A119" s="1284" t="s">
        <v>1402</v>
      </c>
      <c r="B119" s="1284"/>
      <c r="C119" s="1284"/>
      <c r="D119" s="1284"/>
      <c r="E119" s="1284"/>
      <c r="F119" s="1284"/>
      <c r="G119" s="1284"/>
      <c r="H119" s="1284"/>
      <c r="I119" s="1284"/>
      <c r="J119" s="1284"/>
      <c r="K119" s="1284"/>
      <c r="L119" s="1284"/>
      <c r="M119" s="1284"/>
      <c r="N119" s="1284"/>
      <c r="O119" s="48"/>
      <c r="P119" s="48"/>
      <c r="Q119" s="48"/>
      <c r="R119" s="48"/>
      <c r="S119" s="48"/>
      <c r="T119" s="48"/>
      <c r="U119" s="48"/>
      <c r="V119" s="48"/>
      <c r="W119" s="48"/>
    </row>
    <row r="120" spans="1:23" ht="15.4" customHeight="1" x14ac:dyDescent="0.25">
      <c r="A120" s="158"/>
      <c r="B120" s="158"/>
      <c r="C120" s="158"/>
      <c r="D120" s="158"/>
      <c r="E120" s="158"/>
      <c r="F120" s="158"/>
      <c r="G120" s="158"/>
      <c r="H120" s="158"/>
      <c r="I120" s="158"/>
      <c r="J120" s="158"/>
      <c r="K120" s="158"/>
      <c r="L120" s="158"/>
      <c r="M120" s="158"/>
      <c r="N120" s="158"/>
      <c r="O120" s="48"/>
      <c r="P120" s="48"/>
      <c r="Q120" s="48"/>
      <c r="R120" s="48"/>
      <c r="S120" s="48"/>
      <c r="T120" s="48"/>
      <c r="U120" s="48"/>
      <c r="V120" s="48"/>
      <c r="W120" s="48"/>
    </row>
    <row r="121" spans="1:23" ht="15.4" customHeight="1" x14ac:dyDescent="0.25">
      <c r="A121" s="1272" t="s">
        <v>671</v>
      </c>
      <c r="B121" s="1272"/>
      <c r="C121" s="1272"/>
      <c r="D121" s="1272"/>
      <c r="E121" s="1272"/>
      <c r="F121" s="1272"/>
      <c r="G121" s="1272"/>
      <c r="H121" s="1272"/>
      <c r="I121" s="1272"/>
      <c r="J121" s="1272"/>
      <c r="K121" s="1272"/>
      <c r="L121" s="1272"/>
      <c r="M121" s="1272"/>
      <c r="N121" s="48"/>
      <c r="O121" s="48"/>
      <c r="P121" s="48"/>
      <c r="Q121" s="48"/>
      <c r="R121" s="48"/>
      <c r="S121" s="48"/>
      <c r="T121" s="48"/>
      <c r="U121" s="48"/>
      <c r="V121" s="48"/>
      <c r="W121" s="48"/>
    </row>
    <row r="122" spans="1:23" ht="12.75" hidden="1" customHeight="1" x14ac:dyDescent="0.25">
      <c r="A122" s="48" t="s">
        <v>1100</v>
      </c>
      <c r="B122" s="48"/>
      <c r="C122" s="48"/>
      <c r="D122" s="48"/>
      <c r="E122" s="48"/>
      <c r="F122" s="48"/>
      <c r="G122" s="48"/>
      <c r="H122" s="48"/>
      <c r="I122" s="48"/>
      <c r="J122" s="48"/>
      <c r="K122" s="817"/>
      <c r="L122" s="48" t="s">
        <v>1080</v>
      </c>
      <c r="M122" s="817"/>
      <c r="N122" s="48"/>
      <c r="O122" s="48"/>
      <c r="P122" s="48"/>
      <c r="Q122" s="48"/>
      <c r="R122" s="48"/>
      <c r="S122" s="48"/>
      <c r="T122" s="48"/>
      <c r="U122" s="48"/>
      <c r="V122" s="48"/>
      <c r="W122" s="48"/>
    </row>
    <row r="123" spans="1:23" ht="15.4" customHeight="1" x14ac:dyDescent="0.25">
      <c r="A123" s="48"/>
      <c r="B123" s="48"/>
      <c r="C123" s="48"/>
      <c r="D123" s="48"/>
      <c r="E123" s="48"/>
      <c r="F123" s="48"/>
      <c r="G123" s="48"/>
      <c r="H123" s="48"/>
      <c r="I123" s="48"/>
      <c r="J123" s="48"/>
      <c r="K123" s="48"/>
      <c r="L123" s="48"/>
      <c r="M123" s="539" t="s">
        <v>823</v>
      </c>
      <c r="N123" s="178" t="s">
        <v>628</v>
      </c>
      <c r="O123" s="195" t="s">
        <v>298</v>
      </c>
      <c r="P123" s="48"/>
      <c r="Q123" s="48"/>
      <c r="R123" s="48"/>
      <c r="S123" s="48"/>
      <c r="T123" s="48"/>
      <c r="U123" s="48"/>
      <c r="V123" s="48"/>
      <c r="W123" s="48"/>
    </row>
    <row r="124" spans="1:23" ht="30.6" customHeight="1" x14ac:dyDescent="0.25">
      <c r="A124" s="50" t="s">
        <v>172</v>
      </c>
      <c r="B124" s="558" t="s">
        <v>1143</v>
      </c>
      <c r="C124" s="50" t="s">
        <v>106</v>
      </c>
      <c r="D124" s="50">
        <v>25</v>
      </c>
      <c r="E124" s="50">
        <v>50</v>
      </c>
      <c r="F124" s="50">
        <v>100</v>
      </c>
      <c r="G124" s="50">
        <v>200</v>
      </c>
      <c r="H124" s="50">
        <v>500</v>
      </c>
      <c r="I124" s="50">
        <v>1000</v>
      </c>
      <c r="J124" s="50">
        <v>2000</v>
      </c>
      <c r="K124" s="50">
        <v>5000</v>
      </c>
      <c r="L124" s="142">
        <v>10000</v>
      </c>
      <c r="M124" s="315">
        <f>$C$6</f>
        <v>1.1435271830114</v>
      </c>
      <c r="N124" s="848">
        <f>IF(M124&lt;D124,15,IF(M124&gt;L124,L124,HLOOKUP(M124,D124:L124,1)))</f>
        <v>15</v>
      </c>
      <c r="O124" s="867">
        <f>IF(M124&lt;15,15,IF(M124&lt;25,25,IF(M124&gt;L124,L124,INDEX(D124:L124,MATCH(M124,D124:L124,1)+1))))</f>
        <v>15</v>
      </c>
      <c r="P124" s="48"/>
      <c r="Q124" s="48"/>
      <c r="R124" s="48"/>
      <c r="S124" s="48"/>
      <c r="T124" s="48"/>
      <c r="U124" s="48"/>
      <c r="V124" s="48"/>
      <c r="W124" s="48"/>
    </row>
    <row r="125" spans="1:23" ht="15.4" customHeight="1" x14ac:dyDescent="0.25">
      <c r="A125" s="612">
        <v>1</v>
      </c>
      <c r="B125" s="426" t="s">
        <v>1207</v>
      </c>
      <c r="C125" s="452">
        <v>1.9E-2</v>
      </c>
      <c r="D125" s="452">
        <v>1.7000000000000001E-2</v>
      </c>
      <c r="E125" s="452">
        <v>1.4999999999999999E-2</v>
      </c>
      <c r="F125" s="452">
        <v>1.2500000000000001E-2</v>
      </c>
      <c r="G125" s="452">
        <v>0.01</v>
      </c>
      <c r="H125" s="452">
        <v>7.4999999999999997E-3</v>
      </c>
      <c r="I125" s="452">
        <v>4.7000000000000002E-3</v>
      </c>
      <c r="J125" s="452">
        <v>2.5000000000000001E-3</v>
      </c>
      <c r="K125" s="452">
        <v>2E-3</v>
      </c>
      <c r="L125" s="452">
        <v>1E-3</v>
      </c>
      <c r="M125" s="903">
        <f>IF(O$17=N$17,N125,ROUND(N125-((N125-O125)/(O$17-N$17))*(M$17-N$17),3))</f>
        <v>1.9E-2</v>
      </c>
      <c r="N125" s="560">
        <f>IF(N$17=15,C125,HLOOKUP($N$17,$D$17:$L$18,2,TRUE))</f>
        <v>1.9E-2</v>
      </c>
      <c r="O125" s="36">
        <f>IF(O$17=15,C125,HLOOKUP($O$17,$D$17:$L$18,2,TRUE))</f>
        <v>1.9E-2</v>
      </c>
      <c r="P125" s="48"/>
      <c r="Q125" s="48"/>
      <c r="R125" s="48"/>
      <c r="S125" s="48"/>
      <c r="T125" s="48"/>
      <c r="U125" s="48"/>
      <c r="V125" s="48"/>
      <c r="W125" s="48"/>
    </row>
    <row r="126" spans="1:23" ht="12.75" hidden="1" customHeight="1" x14ac:dyDescent="0.25">
      <c r="A126" s="48" t="s">
        <v>1120</v>
      </c>
      <c r="B126" s="48"/>
      <c r="C126" s="48"/>
      <c r="D126" s="48"/>
      <c r="E126" s="48"/>
      <c r="F126" s="48"/>
      <c r="G126" s="48"/>
      <c r="H126" s="48"/>
      <c r="I126" s="48"/>
      <c r="J126" s="48"/>
      <c r="K126" s="48"/>
      <c r="L126" s="48"/>
      <c r="M126" s="48"/>
      <c r="N126" s="48"/>
      <c r="O126" s="48"/>
      <c r="P126" s="48"/>
      <c r="Q126" s="48"/>
      <c r="R126" s="48"/>
      <c r="S126" s="48"/>
      <c r="T126" s="48"/>
      <c r="U126" s="48"/>
      <c r="V126" s="48"/>
      <c r="W126" s="48"/>
    </row>
    <row r="127" spans="1:23" ht="15.4"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row>
    <row r="128" spans="1:23" ht="15.4" customHeight="1" x14ac:dyDescent="0.25">
      <c r="A128" s="1133" t="s">
        <v>17</v>
      </c>
      <c r="B128" s="1133"/>
      <c r="C128" s="1133"/>
      <c r="D128" s="1133"/>
      <c r="E128" s="1133"/>
      <c r="F128" s="1133"/>
      <c r="G128" s="1133"/>
      <c r="H128" s="1133"/>
      <c r="I128" s="1133"/>
      <c r="J128" s="1133"/>
      <c r="K128" s="1133"/>
      <c r="L128" s="1133"/>
      <c r="M128" s="1133"/>
      <c r="N128" s="1133"/>
      <c r="O128" s="48"/>
      <c r="P128" s="48"/>
      <c r="Q128" s="48"/>
      <c r="R128" s="48"/>
      <c r="S128" s="48"/>
      <c r="T128" s="48"/>
      <c r="U128" s="48"/>
      <c r="V128" s="48"/>
      <c r="W128" s="48"/>
    </row>
    <row r="129" spans="1:23" ht="43.5" customHeight="1" x14ac:dyDescent="0.25">
      <c r="A129" s="1284" t="s">
        <v>1263</v>
      </c>
      <c r="B129" s="1284"/>
      <c r="C129" s="1284"/>
      <c r="D129" s="1284"/>
      <c r="E129" s="1284"/>
      <c r="F129" s="1284"/>
      <c r="G129" s="1284"/>
      <c r="H129" s="1284"/>
      <c r="I129" s="1284"/>
      <c r="J129" s="1284"/>
      <c r="K129" s="1284"/>
      <c r="L129" s="1284"/>
      <c r="M129" s="1284"/>
      <c r="N129" s="1284"/>
      <c r="O129" s="48"/>
      <c r="P129" s="48"/>
      <c r="Q129" s="48"/>
      <c r="R129" s="48"/>
      <c r="S129" s="48"/>
      <c r="T129" s="48"/>
      <c r="U129" s="48"/>
      <c r="V129" s="48"/>
      <c r="W129" s="48"/>
    </row>
    <row r="130" spans="1:23" ht="15.4"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row>
    <row r="131" spans="1:23" ht="15.4" customHeight="1" x14ac:dyDescent="0.25">
      <c r="A131" s="1272"/>
      <c r="B131" s="1272"/>
      <c r="C131" s="1272"/>
      <c r="D131" s="1272"/>
      <c r="E131" s="1272"/>
      <c r="F131" s="1272"/>
      <c r="G131" s="1272"/>
      <c r="H131" s="1272"/>
      <c r="I131" s="1272"/>
      <c r="J131" s="1272"/>
      <c r="K131" s="1272"/>
      <c r="L131" s="1272"/>
      <c r="M131" s="1272"/>
      <c r="N131" s="1272"/>
      <c r="O131" s="1272"/>
      <c r="P131" s="48"/>
      <c r="Q131" s="48"/>
      <c r="R131" s="48"/>
      <c r="S131" s="48"/>
      <c r="T131" s="48"/>
      <c r="U131" s="48"/>
      <c r="V131" s="48"/>
      <c r="W131" s="48"/>
    </row>
    <row r="132" spans="1:23" ht="15.4" customHeight="1" x14ac:dyDescent="0.25">
      <c r="A132" s="1272" t="s">
        <v>1367</v>
      </c>
      <c r="B132" s="1272"/>
      <c r="C132" s="681"/>
      <c r="D132" s="681"/>
      <c r="E132" s="681"/>
      <c r="F132" s="681"/>
      <c r="G132" s="681"/>
      <c r="H132" s="681"/>
      <c r="I132" s="681"/>
      <c r="J132" s="681"/>
      <c r="K132" s="681"/>
      <c r="L132" s="681"/>
      <c r="M132" s="681"/>
      <c r="N132" s="681"/>
      <c r="O132" s="681"/>
      <c r="P132" s="48"/>
      <c r="Q132" s="48"/>
      <c r="R132" s="48"/>
      <c r="S132" s="48"/>
      <c r="T132" s="48"/>
      <c r="U132" s="48"/>
      <c r="V132" s="48"/>
      <c r="W132" s="48"/>
    </row>
    <row r="133" spans="1:23" ht="15.4" customHeight="1" x14ac:dyDescent="0.25">
      <c r="A133" s="48"/>
      <c r="B133" s="48"/>
      <c r="C133" s="48"/>
      <c r="D133" s="48"/>
      <c r="E133" s="48"/>
      <c r="F133" s="48"/>
      <c r="G133" s="48"/>
      <c r="H133" s="48"/>
      <c r="I133" s="1133" t="s">
        <v>681</v>
      </c>
      <c r="J133" s="1133"/>
      <c r="K133" s="1133"/>
      <c r="L133" s="1133"/>
      <c r="M133" s="817"/>
      <c r="N133" s="817"/>
      <c r="O133" s="48"/>
      <c r="P133" s="48"/>
      <c r="Q133" s="48"/>
      <c r="R133" s="48"/>
      <c r="S133" s="48"/>
      <c r="T133" s="48"/>
      <c r="U133" s="48"/>
      <c r="V133" s="48"/>
      <c r="W133" s="48"/>
    </row>
    <row r="134" spans="1:23" ht="12.75" hidden="1" customHeight="1" x14ac:dyDescent="0.25">
      <c r="A134" s="48" t="s">
        <v>137</v>
      </c>
      <c r="B134" s="48"/>
      <c r="C134" s="48"/>
      <c r="D134" s="48"/>
      <c r="E134" s="48"/>
      <c r="F134" s="48"/>
      <c r="G134" s="48"/>
      <c r="H134" s="48"/>
      <c r="I134" s="48"/>
      <c r="J134" s="48"/>
      <c r="K134" s="48" t="s">
        <v>1080</v>
      </c>
      <c r="L134" s="48"/>
      <c r="M134" s="48"/>
      <c r="N134" s="48"/>
      <c r="O134" s="48"/>
      <c r="P134" s="48"/>
      <c r="Q134" s="48"/>
      <c r="R134" s="48"/>
      <c r="S134" s="48"/>
      <c r="T134" s="48"/>
      <c r="U134" s="48"/>
      <c r="V134" s="48"/>
      <c r="W134" s="48"/>
    </row>
    <row r="135" spans="1:23" ht="33" customHeight="1" x14ac:dyDescent="0.25">
      <c r="A135" s="1279" t="s">
        <v>172</v>
      </c>
      <c r="B135" s="1279" t="s">
        <v>589</v>
      </c>
      <c r="C135" s="1277" t="s">
        <v>52</v>
      </c>
      <c r="D135" s="1278"/>
      <c r="E135" s="1278"/>
      <c r="F135" s="1278"/>
      <c r="G135" s="1278"/>
      <c r="H135" s="1278"/>
      <c r="I135" s="1278"/>
      <c r="J135" s="1278"/>
      <c r="K135" s="1278"/>
      <c r="L135" s="539" t="s">
        <v>823</v>
      </c>
      <c r="M135" s="178" t="s">
        <v>628</v>
      </c>
      <c r="N135" s="195" t="s">
        <v>298</v>
      </c>
      <c r="O135" s="48"/>
      <c r="P135" s="48"/>
      <c r="Q135" s="48"/>
      <c r="R135" s="48"/>
      <c r="S135" s="48"/>
      <c r="T135" s="48"/>
      <c r="U135" s="48"/>
      <c r="V135" s="48"/>
      <c r="W135" s="48"/>
    </row>
    <row r="136" spans="1:23" ht="15.4" customHeight="1" x14ac:dyDescent="0.25">
      <c r="A136" s="1279"/>
      <c r="B136" s="1279"/>
      <c r="C136" s="50" t="s">
        <v>1450</v>
      </c>
      <c r="D136" s="50">
        <v>50</v>
      </c>
      <c r="E136" s="50">
        <v>100</v>
      </c>
      <c r="F136" s="50">
        <v>200</v>
      </c>
      <c r="G136" s="50">
        <v>500</v>
      </c>
      <c r="H136" s="142">
        <v>1000</v>
      </c>
      <c r="I136" s="142">
        <v>2000</v>
      </c>
      <c r="J136" s="142">
        <v>5000</v>
      </c>
      <c r="K136" s="142">
        <v>8000</v>
      </c>
      <c r="L136" s="539">
        <f>$C$1</f>
        <v>1.1435271830114</v>
      </c>
      <c r="M136" s="178">
        <f>IF(L136&lt;D136,15,IF(L136&gt;K136,K136,HLOOKUP(L136,D136:K136,1)))</f>
        <v>15</v>
      </c>
      <c r="N136" s="195">
        <f>IF(L136&lt;15,15,IF(L136&lt;50,50,IF(L136&gt;K136,K136,INDEX(D136:K136,MATCH(L136,D136:K136,1)+1))))</f>
        <v>15</v>
      </c>
      <c r="O136" s="48"/>
      <c r="P136" s="48"/>
      <c r="Q136" s="48"/>
      <c r="R136" s="48"/>
      <c r="S136" s="48"/>
      <c r="T136" s="48"/>
      <c r="U136" s="48"/>
      <c r="V136" s="48"/>
      <c r="W136" s="48"/>
    </row>
    <row r="137" spans="1:23" ht="16.350000000000001" customHeight="1" x14ac:dyDescent="0.25">
      <c r="A137" s="1280" t="s">
        <v>362</v>
      </c>
      <c r="B137" s="1281"/>
      <c r="C137" s="1281"/>
      <c r="D137" s="1281"/>
      <c r="E137" s="1281"/>
      <c r="F137" s="1281"/>
      <c r="G137" s="1281"/>
      <c r="H137" s="1281"/>
      <c r="I137" s="1281"/>
      <c r="J137" s="1281"/>
      <c r="K137" s="1282"/>
      <c r="L137" s="426"/>
      <c r="M137" s="426"/>
      <c r="N137" s="426"/>
      <c r="O137" s="48"/>
      <c r="P137" s="48"/>
      <c r="Q137" s="48"/>
      <c r="R137" s="48"/>
      <c r="S137" s="48"/>
      <c r="T137" s="48"/>
      <c r="U137" s="48"/>
      <c r="V137" s="48"/>
      <c r="W137" s="48"/>
    </row>
    <row r="138" spans="1:23" ht="15.4" customHeight="1" x14ac:dyDescent="0.25">
      <c r="A138" s="612" t="s">
        <v>179</v>
      </c>
      <c r="B138" s="426" t="str">
        <f t="shared" ref="B138:B142" si="11">B48</f>
        <v>Công trình dân dụng</v>
      </c>
      <c r="C138" s="56">
        <v>0.16500000000000001</v>
      </c>
      <c r="D138" s="56">
        <v>0.11</v>
      </c>
      <c r="E138" s="56">
        <v>8.5000000000000006E-2</v>
      </c>
      <c r="F138" s="56">
        <v>6.5000000000000002E-2</v>
      </c>
      <c r="G138" s="56">
        <v>0.05</v>
      </c>
      <c r="H138" s="56">
        <v>4.1000000000000002E-2</v>
      </c>
      <c r="I138" s="56">
        <v>2.9000000000000001E-2</v>
      </c>
      <c r="J138" s="56">
        <v>2.1999999999999999E-2</v>
      </c>
      <c r="K138" s="56">
        <v>1.9E-2</v>
      </c>
      <c r="L138" s="903">
        <f t="shared" ref="L138:L142" si="12">IF(N$46=M$46,M138,ROUND(M138-((M138-N138)/(N$46-M$46))*(L$46-M$46),3))</f>
        <v>0.16500000000000001</v>
      </c>
      <c r="M138" s="560">
        <f>IF(M$46=15,C138,HLOOKUP($M$46,$D$46:$K$64,3,TRUE))</f>
        <v>0.16500000000000001</v>
      </c>
      <c r="N138" s="36">
        <f>IF(N$46=15,C138,HLOOKUP($N$46,$D$46:$K$64,3,TRUE))</f>
        <v>0.16500000000000001</v>
      </c>
      <c r="O138" s="48"/>
      <c r="P138" s="48"/>
      <c r="Q138" s="48"/>
      <c r="R138" s="48"/>
      <c r="S138" s="48"/>
      <c r="T138" s="48"/>
      <c r="U138" s="48"/>
      <c r="V138" s="48"/>
      <c r="W138" s="48"/>
    </row>
    <row r="139" spans="1:23" ht="15.4" customHeight="1" x14ac:dyDescent="0.25">
      <c r="A139" s="612" t="s">
        <v>549</v>
      </c>
      <c r="B139" s="426" t="str">
        <f t="shared" si="11"/>
        <v>Công trình công nghiệp</v>
      </c>
      <c r="C139" s="56">
        <v>0.19</v>
      </c>
      <c r="D139" s="56">
        <v>0.126</v>
      </c>
      <c r="E139" s="56">
        <v>9.7000000000000003E-2</v>
      </c>
      <c r="F139" s="56">
        <v>7.4999999999999997E-2</v>
      </c>
      <c r="G139" s="56">
        <v>5.8000000000000003E-2</v>
      </c>
      <c r="H139" s="56">
        <v>4.3999999999999997E-2</v>
      </c>
      <c r="I139" s="56">
        <v>3.5000000000000003E-2</v>
      </c>
      <c r="J139" s="56">
        <v>2.5999999999999999E-2</v>
      </c>
      <c r="K139" s="56">
        <v>2.1999999999999999E-2</v>
      </c>
      <c r="L139" s="903">
        <f t="shared" si="12"/>
        <v>0.19</v>
      </c>
      <c r="M139" s="560">
        <f>IF(M$46=15,C139,HLOOKUP($M$46,$D$46:$K$64,4,TRUE))</f>
        <v>0.19</v>
      </c>
      <c r="N139" s="36">
        <f>IF(N$46=15,C139,HLOOKUP($N$46,$D$46:$K$64,4,TRUE))</f>
        <v>0.19</v>
      </c>
      <c r="O139" s="48"/>
      <c r="P139" s="48"/>
      <c r="Q139" s="48"/>
      <c r="R139" s="48"/>
      <c r="S139" s="48"/>
      <c r="T139" s="48"/>
      <c r="U139" s="48"/>
      <c r="V139" s="48"/>
      <c r="W139" s="48"/>
    </row>
    <row r="140" spans="1:23" ht="15.4" customHeight="1" x14ac:dyDescent="0.25">
      <c r="A140" s="612" t="s">
        <v>962</v>
      </c>
      <c r="B140" s="426" t="str">
        <f t="shared" si="11"/>
        <v>Công trình giao thông</v>
      </c>
      <c r="C140" s="56">
        <v>0.109</v>
      </c>
      <c r="D140" s="56">
        <v>7.1999999999999995E-2</v>
      </c>
      <c r="E140" s="56">
        <v>5.5E-2</v>
      </c>
      <c r="F140" s="56">
        <v>4.2999999999999997E-2</v>
      </c>
      <c r="G140" s="56">
        <v>3.3000000000000002E-2</v>
      </c>
      <c r="H140" s="56">
        <v>2.5000000000000001E-2</v>
      </c>
      <c r="I140" s="56">
        <v>2.1000000000000001E-2</v>
      </c>
      <c r="J140" s="56">
        <v>1.6E-2</v>
      </c>
      <c r="K140" s="56">
        <v>1.4E-2</v>
      </c>
      <c r="L140" s="903">
        <f t="shared" si="12"/>
        <v>0.109</v>
      </c>
      <c r="M140" s="560">
        <f>IF(M$46=15,C140,HLOOKUP($M$46,$D$46:$K$64,5,TRUE))</f>
        <v>0.109</v>
      </c>
      <c r="N140" s="36">
        <f>IF(N$46=15,C140,HLOOKUP($N$46,$D$46:$K$64,5,TRUE))</f>
        <v>0.109</v>
      </c>
      <c r="O140" s="48"/>
      <c r="P140" s="48"/>
      <c r="Q140" s="48"/>
      <c r="R140" s="48"/>
      <c r="S140" s="48"/>
      <c r="T140" s="48"/>
      <c r="U140" s="48"/>
      <c r="V140" s="48"/>
      <c r="W140" s="48"/>
    </row>
    <row r="141" spans="1:23" ht="30.6" customHeight="1" x14ac:dyDescent="0.25">
      <c r="A141" s="612" t="s">
        <v>1342</v>
      </c>
      <c r="B141" s="131" t="str">
        <f t="shared" si="11"/>
        <v>Công trình nông nghiệp và phát triển nông thôn</v>
      </c>
      <c r="C141" s="56">
        <v>0.121</v>
      </c>
      <c r="D141" s="56">
        <v>0.08</v>
      </c>
      <c r="E141" s="56">
        <v>6.0999999999999999E-2</v>
      </c>
      <c r="F141" s="56">
        <v>4.8000000000000001E-2</v>
      </c>
      <c r="G141" s="56">
        <v>3.6999999999999998E-2</v>
      </c>
      <c r="H141" s="56">
        <v>2.8000000000000001E-2</v>
      </c>
      <c r="I141" s="56">
        <v>2.3E-2</v>
      </c>
      <c r="J141" s="56">
        <v>1.7000000000000001E-2</v>
      </c>
      <c r="K141" s="56">
        <v>1.4E-2</v>
      </c>
      <c r="L141" s="903">
        <f t="shared" si="12"/>
        <v>0.121</v>
      </c>
      <c r="M141" s="560">
        <f>IF(M$46=15,C141,HLOOKUP($M$46,$D$46:$K$64,6,TRUE))</f>
        <v>0.121</v>
      </c>
      <c r="N141" s="36">
        <f>IF(N$46=15,C141,HLOOKUP($N$46,$D$46:$K$64,6,TRUE))</f>
        <v>0.121</v>
      </c>
      <c r="O141" s="48"/>
      <c r="P141" s="48"/>
      <c r="Q141" s="48"/>
      <c r="R141" s="48"/>
      <c r="S141" s="48"/>
      <c r="T141" s="48"/>
      <c r="U141" s="48"/>
      <c r="V141" s="48"/>
      <c r="W141" s="48"/>
    </row>
    <row r="142" spans="1:23" ht="15.4" customHeight="1" x14ac:dyDescent="0.25">
      <c r="A142" s="612" t="s">
        <v>1317</v>
      </c>
      <c r="B142" s="426" t="str">
        <f t="shared" si="11"/>
        <v>Công trình hạ tầng kỹ thuật</v>
      </c>
      <c r="C142" s="56">
        <v>0.126</v>
      </c>
      <c r="D142" s="56">
        <v>8.5000000000000006E-2</v>
      </c>
      <c r="E142" s="56">
        <v>6.5000000000000002E-2</v>
      </c>
      <c r="F142" s="56">
        <v>0.05</v>
      </c>
      <c r="G142" s="56">
        <v>3.9E-2</v>
      </c>
      <c r="H142" s="56">
        <v>0.03</v>
      </c>
      <c r="I142" s="56">
        <v>2.5999999999999999E-2</v>
      </c>
      <c r="J142" s="56">
        <v>1.9E-2</v>
      </c>
      <c r="K142" s="56">
        <v>1.7000000000000001E-2</v>
      </c>
      <c r="L142" s="903">
        <f t="shared" si="12"/>
        <v>0.126</v>
      </c>
      <c r="M142" s="560">
        <f>IF(M$46=15,C142,HLOOKUP($M$46,$D$46:$K$64,7,TRUE))</f>
        <v>0.126</v>
      </c>
      <c r="N142" s="36">
        <f>IF(N$46=15,C142,HLOOKUP($N$46,$D$46:$K$64,7,TRUE))</f>
        <v>0.126</v>
      </c>
      <c r="O142" s="48"/>
      <c r="P142" s="48"/>
      <c r="Q142" s="48"/>
      <c r="R142" s="48"/>
      <c r="S142" s="48"/>
      <c r="T142" s="48"/>
      <c r="U142" s="48"/>
      <c r="V142" s="48"/>
      <c r="W142" s="48"/>
    </row>
    <row r="143" spans="1:23" ht="292.89999999999998" customHeight="1" x14ac:dyDescent="0.25">
      <c r="A143" s="1273" t="s">
        <v>801</v>
      </c>
      <c r="B143" s="1274"/>
      <c r="C143" s="1274"/>
      <c r="D143" s="1274"/>
      <c r="E143" s="1274"/>
      <c r="F143" s="1274"/>
      <c r="G143" s="1274"/>
      <c r="H143" s="1274"/>
      <c r="I143" s="1274"/>
      <c r="J143" s="1274"/>
      <c r="K143" s="1275"/>
      <c r="L143" s="426"/>
      <c r="M143" s="426"/>
      <c r="N143" s="426"/>
      <c r="O143" s="48"/>
      <c r="P143" s="48"/>
      <c r="Q143" s="48"/>
      <c r="R143" s="48"/>
      <c r="S143" s="48"/>
      <c r="T143" s="48"/>
      <c r="U143" s="48"/>
      <c r="V143" s="48"/>
      <c r="W143" s="48"/>
    </row>
    <row r="144" spans="1:23" ht="15.4" customHeight="1" x14ac:dyDescent="0.25">
      <c r="A144" s="612" t="s">
        <v>393</v>
      </c>
      <c r="B144" s="426" t="str">
        <f t="shared" ref="B144:B148" si="13">B48</f>
        <v>Công trình dân dụng</v>
      </c>
      <c r="C144" s="452">
        <v>4.9500000000000002E-2</v>
      </c>
      <c r="D144" s="452">
        <v>3.3000000000000002E-2</v>
      </c>
      <c r="E144" s="452">
        <v>2.5499999999999998E-2</v>
      </c>
      <c r="F144" s="452">
        <v>1.95E-2</v>
      </c>
      <c r="G144" s="452">
        <v>1.4999999999999999E-2</v>
      </c>
      <c r="H144" s="452">
        <v>1.23E-2</v>
      </c>
      <c r="I144" s="452">
        <v>8.6999999999999994E-3</v>
      </c>
      <c r="J144" s="452">
        <v>6.6E-3</v>
      </c>
      <c r="K144" s="452">
        <v>5.7000000000000002E-3</v>
      </c>
      <c r="L144" s="399">
        <f t="shared" ref="L144:L148" si="14">IF(N$46=M$46,M144,ROUND(M144-((M144-N144)/(N$46-M$46))*(L$46-M$46),4))</f>
        <v>4.9500000000000002E-2</v>
      </c>
      <c r="M144" s="34">
        <f>IF(M$46=15,C144,HLOOKUP($M$46,$D$46:$K$64,9,TRUE))</f>
        <v>4.9500000000000002E-2</v>
      </c>
      <c r="N144" s="433">
        <f>IF(N$46=15,C144,HLOOKUP($N$46,$D$46:$K$64,9,TRUE))</f>
        <v>4.9500000000000002E-2</v>
      </c>
      <c r="O144" s="48"/>
      <c r="P144" s="48"/>
      <c r="Q144" s="48"/>
      <c r="R144" s="48"/>
      <c r="S144" s="48"/>
      <c r="T144" s="48"/>
      <c r="U144" s="48"/>
      <c r="V144" s="48"/>
      <c r="W144" s="48"/>
    </row>
    <row r="145" spans="1:23" ht="15.4" customHeight="1" x14ac:dyDescent="0.25">
      <c r="A145" s="612" t="s">
        <v>776</v>
      </c>
      <c r="B145" s="426" t="str">
        <f t="shared" si="13"/>
        <v>Công trình công nghiệp</v>
      </c>
      <c r="C145" s="452">
        <v>5.7000000000000002E-2</v>
      </c>
      <c r="D145" s="452">
        <v>3.78E-2</v>
      </c>
      <c r="E145" s="452">
        <v>2.9100000000000001E-2</v>
      </c>
      <c r="F145" s="452">
        <v>2.5499999999999998E-2</v>
      </c>
      <c r="G145" s="452">
        <v>1.7399999999999999E-2</v>
      </c>
      <c r="H145" s="452">
        <v>1.32E-2</v>
      </c>
      <c r="I145" s="452">
        <v>1.0500000000000001E-2</v>
      </c>
      <c r="J145" s="452">
        <v>7.7999999999999996E-3</v>
      </c>
      <c r="K145" s="452">
        <v>6.6E-3</v>
      </c>
      <c r="L145" s="399">
        <f t="shared" si="14"/>
        <v>5.7000000000000002E-2</v>
      </c>
      <c r="M145" s="34">
        <f>IF(M$46=15,C145,HLOOKUP($M$46,$D$46:$K$64,10,TRUE))</f>
        <v>5.7000000000000002E-2</v>
      </c>
      <c r="N145" s="433">
        <f>IF(N$46=15,C145,HLOOKUP($N$46,$D$46:$K$64,10,TRUE))</f>
        <v>5.7000000000000002E-2</v>
      </c>
      <c r="O145" s="48"/>
      <c r="P145" s="48"/>
      <c r="Q145" s="48"/>
      <c r="R145" s="48"/>
      <c r="S145" s="48"/>
      <c r="T145" s="48"/>
      <c r="U145" s="48"/>
      <c r="V145" s="48"/>
      <c r="W145" s="48"/>
    </row>
    <row r="146" spans="1:23" ht="15.4" customHeight="1" x14ac:dyDescent="0.25">
      <c r="A146" s="612" t="s">
        <v>748</v>
      </c>
      <c r="B146" s="426" t="str">
        <f t="shared" si="13"/>
        <v>Công trình giao thông</v>
      </c>
      <c r="C146" s="452">
        <v>3.27E-2</v>
      </c>
      <c r="D146" s="452">
        <v>2.1600000000000001E-2</v>
      </c>
      <c r="E146" s="452">
        <v>1.6500000000000001E-2</v>
      </c>
      <c r="F146" s="452">
        <v>1.29E-2</v>
      </c>
      <c r="G146" s="452">
        <v>9.9000000000000008E-3</v>
      </c>
      <c r="H146" s="452">
        <v>7.4999999999999997E-3</v>
      </c>
      <c r="I146" s="452">
        <v>6.3E-3</v>
      </c>
      <c r="J146" s="452">
        <v>4.7999999999999996E-3</v>
      </c>
      <c r="K146" s="452">
        <v>4.1999999999999997E-3</v>
      </c>
      <c r="L146" s="399">
        <f t="shared" si="14"/>
        <v>3.27E-2</v>
      </c>
      <c r="M146" s="34">
        <f>IF(M$46=15,C146,HLOOKUP($M$46,$D$46:$K$64,11,TRUE))</f>
        <v>3.27E-2</v>
      </c>
      <c r="N146" s="433">
        <f>IF(N$46=15,C146,HLOOKUP($N$46,$D$46:$K$64,11,TRUE))</f>
        <v>3.27E-2</v>
      </c>
      <c r="O146" s="48"/>
      <c r="P146" s="48"/>
      <c r="Q146" s="48"/>
      <c r="R146" s="48"/>
      <c r="S146" s="48"/>
      <c r="T146" s="48"/>
      <c r="U146" s="48"/>
      <c r="V146" s="48"/>
      <c r="W146" s="48"/>
    </row>
    <row r="147" spans="1:23" ht="30.6" customHeight="1" x14ac:dyDescent="0.25">
      <c r="A147" s="612" t="s">
        <v>1174</v>
      </c>
      <c r="B147" s="131" t="str">
        <f t="shared" si="13"/>
        <v>Công trình nông nghiệp và phát triển nông thôn</v>
      </c>
      <c r="C147" s="452">
        <v>3.6299999999999999E-2</v>
      </c>
      <c r="D147" s="452">
        <v>2.4E-2</v>
      </c>
      <c r="E147" s="452">
        <v>1.83E-2</v>
      </c>
      <c r="F147" s="452">
        <v>1.44E-2</v>
      </c>
      <c r="G147" s="452">
        <v>1.11E-2</v>
      </c>
      <c r="H147" s="452">
        <v>8.3999999999999995E-3</v>
      </c>
      <c r="I147" s="452">
        <v>6.8999999999999999E-3</v>
      </c>
      <c r="J147" s="452">
        <v>5.1000000000000004E-3</v>
      </c>
      <c r="K147" s="452">
        <v>4.1999999999999997E-3</v>
      </c>
      <c r="L147" s="399">
        <f t="shared" si="14"/>
        <v>3.6299999999999999E-2</v>
      </c>
      <c r="M147" s="34">
        <f>IF(M$46=15,C147,HLOOKUP($M$46,$D$46:$K$64,12,TRUE))</f>
        <v>3.6299999999999999E-2</v>
      </c>
      <c r="N147" s="433">
        <f>IF(N$46=15,C147,HLOOKUP($N$46,$D$46:$K$64,12,TRUE))</f>
        <v>3.6299999999999999E-2</v>
      </c>
      <c r="O147" s="48"/>
      <c r="P147" s="48"/>
      <c r="Q147" s="48"/>
      <c r="R147" s="48"/>
      <c r="S147" s="48"/>
      <c r="T147" s="48"/>
      <c r="U147" s="48"/>
      <c r="V147" s="48"/>
      <c r="W147" s="48"/>
    </row>
    <row r="148" spans="1:23" ht="15.4" customHeight="1" x14ac:dyDescent="0.25">
      <c r="A148" s="612" t="s">
        <v>54</v>
      </c>
      <c r="B148" s="426" t="str">
        <f t="shared" si="13"/>
        <v>Công trình hạ tầng kỹ thuật</v>
      </c>
      <c r="C148" s="452">
        <v>3.78E-2</v>
      </c>
      <c r="D148" s="452">
        <v>2.5499999999999998E-2</v>
      </c>
      <c r="E148" s="452">
        <v>1.95E-2</v>
      </c>
      <c r="F148" s="452">
        <v>1.4999999999999999E-2</v>
      </c>
      <c r="G148" s="452">
        <v>1.17E-2</v>
      </c>
      <c r="H148" s="452">
        <v>8.9999999999999993E-3</v>
      </c>
      <c r="I148" s="452">
        <v>7.8E-2</v>
      </c>
      <c r="J148" s="452">
        <v>5.7000000000000002E-3</v>
      </c>
      <c r="K148" s="452">
        <v>5.1000000000000004E-3</v>
      </c>
      <c r="L148" s="399">
        <f t="shared" si="14"/>
        <v>3.78E-2</v>
      </c>
      <c r="M148" s="34">
        <f>IF(M$46=15,C148,HLOOKUP($M$46,$D$46:$K$64,13,TRUE))</f>
        <v>3.78E-2</v>
      </c>
      <c r="N148" s="433">
        <f>IF(N$46=15,C148,HLOOKUP($N$46,$D$46:$K$64,13,TRUE))</f>
        <v>3.78E-2</v>
      </c>
      <c r="O148" s="48"/>
      <c r="P148" s="48"/>
      <c r="Q148" s="48"/>
      <c r="R148" s="48"/>
      <c r="S148" s="48"/>
      <c r="T148" s="48"/>
      <c r="U148" s="48"/>
      <c r="V148" s="48"/>
      <c r="W148" s="48"/>
    </row>
    <row r="149" spans="1:23" ht="12.75" hidden="1" customHeight="1" x14ac:dyDescent="0.25">
      <c r="A149" s="48" t="s">
        <v>155</v>
      </c>
      <c r="B149" s="48"/>
      <c r="C149" s="48"/>
      <c r="D149" s="48"/>
      <c r="E149" s="48"/>
      <c r="F149" s="48"/>
      <c r="G149" s="48"/>
      <c r="H149" s="48"/>
      <c r="I149" s="48"/>
      <c r="J149" s="48"/>
      <c r="K149" s="48"/>
      <c r="L149" s="903">
        <f>IF(N$46=M$46,M149,ROUND(M149-((M149-N149)/(N$46-M$46))*(L$46-M$46),3))</f>
        <v>0</v>
      </c>
      <c r="M149" s="560">
        <f>IF(M$46=15,C149,HLOOKUP($M$46,$D$46:$K$52,6,TRUE))</f>
        <v>0</v>
      </c>
      <c r="N149" s="48"/>
      <c r="O149" s="48"/>
      <c r="P149" s="48"/>
      <c r="Q149" s="48"/>
      <c r="R149" s="48"/>
      <c r="S149" s="48"/>
      <c r="T149" s="48"/>
      <c r="U149" s="48"/>
      <c r="V149" s="48"/>
      <c r="W149" s="48"/>
    </row>
    <row r="150" spans="1:23" ht="15.4"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row>
    <row r="151" spans="1:23" ht="15.4" customHeight="1" x14ac:dyDescent="0.25">
      <c r="A151" s="1272" t="s">
        <v>353</v>
      </c>
      <c r="B151" s="1272"/>
      <c r="C151" s="681"/>
      <c r="D151" s="681"/>
      <c r="E151" s="681"/>
      <c r="F151" s="681"/>
      <c r="G151" s="681"/>
      <c r="H151" s="681"/>
      <c r="I151" s="681"/>
      <c r="J151" s="681"/>
      <c r="K151" s="681"/>
      <c r="L151" s="681"/>
      <c r="M151" s="681"/>
      <c r="N151" s="681"/>
      <c r="O151" s="681"/>
      <c r="P151" s="48"/>
      <c r="Q151" s="48"/>
      <c r="R151" s="48"/>
      <c r="S151" s="48"/>
      <c r="T151" s="48"/>
      <c r="U151" s="48"/>
      <c r="V151" s="48"/>
      <c r="W151" s="48"/>
    </row>
    <row r="152" spans="1:23" ht="15.4" customHeight="1" x14ac:dyDescent="0.25">
      <c r="A152" s="48"/>
      <c r="B152" s="48"/>
      <c r="C152" s="48"/>
      <c r="D152" s="48"/>
      <c r="E152" s="48"/>
      <c r="F152" s="48"/>
      <c r="G152" s="48"/>
      <c r="H152" s="48"/>
      <c r="I152" s="1133" t="s">
        <v>681</v>
      </c>
      <c r="J152" s="1133"/>
      <c r="K152" s="1133"/>
      <c r="L152" s="1133"/>
      <c r="M152" s="817"/>
      <c r="N152" s="817"/>
      <c r="O152" s="48"/>
      <c r="P152" s="48"/>
      <c r="Q152" s="48"/>
      <c r="R152" s="48"/>
      <c r="S152" s="48"/>
      <c r="T152" s="48"/>
      <c r="U152" s="48"/>
      <c r="V152" s="48"/>
      <c r="W152" s="48"/>
    </row>
    <row r="153" spans="1:23" ht="12.75" hidden="1" customHeight="1" x14ac:dyDescent="0.25">
      <c r="A153" s="48" t="s">
        <v>1393</v>
      </c>
      <c r="B153" s="48"/>
      <c r="C153" s="48"/>
      <c r="D153" s="48"/>
      <c r="E153" s="48"/>
      <c r="F153" s="48"/>
      <c r="G153" s="48"/>
      <c r="H153" s="48"/>
      <c r="I153" s="48"/>
      <c r="J153" s="48"/>
      <c r="K153" s="48" t="s">
        <v>1080</v>
      </c>
      <c r="L153" s="48"/>
      <c r="M153" s="48"/>
      <c r="N153" s="48"/>
      <c r="O153" s="48"/>
      <c r="P153" s="48"/>
      <c r="Q153" s="48"/>
      <c r="R153" s="48"/>
      <c r="S153" s="48"/>
      <c r="T153" s="48"/>
      <c r="U153" s="48"/>
      <c r="V153" s="48"/>
      <c r="W153" s="48"/>
    </row>
    <row r="154" spans="1:23" ht="33" customHeight="1" x14ac:dyDescent="0.25">
      <c r="A154" s="1279" t="s">
        <v>172</v>
      </c>
      <c r="B154" s="1279" t="s">
        <v>589</v>
      </c>
      <c r="C154" s="1277" t="s">
        <v>52</v>
      </c>
      <c r="D154" s="1278"/>
      <c r="E154" s="1278"/>
      <c r="F154" s="1278"/>
      <c r="G154" s="1278"/>
      <c r="H154" s="1278"/>
      <c r="I154" s="1278"/>
      <c r="J154" s="1278"/>
      <c r="K154" s="1278"/>
      <c r="L154" s="539" t="s">
        <v>823</v>
      </c>
      <c r="M154" s="178" t="s">
        <v>628</v>
      </c>
      <c r="N154" s="195" t="s">
        <v>298</v>
      </c>
      <c r="O154" s="48"/>
      <c r="P154" s="48"/>
      <c r="Q154" s="48"/>
      <c r="R154" s="48"/>
      <c r="S154" s="48"/>
      <c r="T154" s="48"/>
      <c r="U154" s="48"/>
      <c r="V154" s="48"/>
      <c r="W154" s="48"/>
    </row>
    <row r="155" spans="1:23" ht="15.4" customHeight="1" x14ac:dyDescent="0.25">
      <c r="A155" s="1279"/>
      <c r="B155" s="1279"/>
      <c r="C155" s="50" t="s">
        <v>1450</v>
      </c>
      <c r="D155" s="50">
        <v>50</v>
      </c>
      <c r="E155" s="50">
        <v>100</v>
      </c>
      <c r="F155" s="50">
        <v>200</v>
      </c>
      <c r="G155" s="50">
        <v>500</v>
      </c>
      <c r="H155" s="142">
        <v>1000</v>
      </c>
      <c r="I155" s="142">
        <v>2000</v>
      </c>
      <c r="J155" s="142">
        <v>5000</v>
      </c>
      <c r="K155" s="142">
        <v>8000</v>
      </c>
      <c r="L155" s="539">
        <f>$C$1</f>
        <v>1.1435271830114</v>
      </c>
      <c r="M155" s="178">
        <f>IF(L155&lt;D155,15,IF(L155&gt;K155,K155,HLOOKUP(L155,D155:K155,1)))</f>
        <v>15</v>
      </c>
      <c r="N155" s="195">
        <f>IF(L155&lt;15,15,IF(L155&lt;50,50,IF(L155&gt;K155,K155,INDEX(D155:K155,MATCH(L155,D155:K155,1)+1))))</f>
        <v>15</v>
      </c>
      <c r="O155" s="48"/>
      <c r="P155" s="48"/>
      <c r="Q155" s="48"/>
      <c r="R155" s="48"/>
      <c r="S155" s="48"/>
      <c r="T155" s="48"/>
      <c r="U155" s="48"/>
      <c r="V155" s="48"/>
      <c r="W155" s="48"/>
    </row>
    <row r="156" spans="1:23" ht="16.350000000000001" customHeight="1" x14ac:dyDescent="0.25">
      <c r="A156" s="1273" t="s">
        <v>857</v>
      </c>
      <c r="B156" s="1274"/>
      <c r="C156" s="1274"/>
      <c r="D156" s="1274"/>
      <c r="E156" s="1274"/>
      <c r="F156" s="1274"/>
      <c r="G156" s="1274"/>
      <c r="H156" s="1274"/>
      <c r="I156" s="1274"/>
      <c r="J156" s="1274"/>
      <c r="K156" s="1275"/>
      <c r="L156" s="426"/>
      <c r="M156" s="426"/>
      <c r="N156" s="426"/>
      <c r="O156" s="48"/>
      <c r="P156" s="48"/>
      <c r="Q156" s="48"/>
      <c r="R156" s="48"/>
      <c r="S156" s="48"/>
      <c r="T156" s="48"/>
      <c r="U156" s="48"/>
      <c r="V156" s="48"/>
      <c r="W156" s="48"/>
    </row>
    <row r="157" spans="1:23" ht="15.4" customHeight="1" x14ac:dyDescent="0.25">
      <c r="A157" s="612" t="s">
        <v>179</v>
      </c>
      <c r="B157" s="426" t="str">
        <f t="shared" ref="B157:B161" si="15">B48</f>
        <v>Công trình dân dụng</v>
      </c>
      <c r="C157" s="56">
        <v>0.16</v>
      </c>
      <c r="D157" s="56">
        <v>0.106</v>
      </c>
      <c r="E157" s="56">
        <v>8.3000000000000004E-2</v>
      </c>
      <c r="F157" s="56">
        <v>6.2E-2</v>
      </c>
      <c r="G157" s="56">
        <v>4.5999999999999999E-2</v>
      </c>
      <c r="H157" s="56">
        <v>3.7999999999999999E-2</v>
      </c>
      <c r="I157" s="56">
        <v>2.8000000000000001E-2</v>
      </c>
      <c r="J157" s="56">
        <v>2.1000000000000001E-2</v>
      </c>
      <c r="K157" s="56">
        <v>1.7999999999999999E-2</v>
      </c>
      <c r="L157" s="903">
        <f t="shared" ref="L157:L161" si="16">IF(N$71=M$71,M157,ROUND(M157-((M157-N157)/(N$71-M$71))*(L$71-M$71),3))</f>
        <v>0.16</v>
      </c>
      <c r="M157" s="560">
        <f>IF(M$71=15,C157,HLOOKUP($M$71,$D$71:$K$83,3,TRUE))</f>
        <v>0.16</v>
      </c>
      <c r="N157" s="36">
        <f>IF(N$71=15,C157,HLOOKUP($N$71,$D$71:$K$83,3,TRUE))</f>
        <v>0.16</v>
      </c>
      <c r="O157" s="48"/>
      <c r="P157" s="48"/>
      <c r="Q157" s="48"/>
      <c r="R157" s="48"/>
      <c r="S157" s="48"/>
      <c r="T157" s="48"/>
      <c r="U157" s="48"/>
      <c r="V157" s="48"/>
      <c r="W157" s="48"/>
    </row>
    <row r="158" spans="1:23" ht="15.4" customHeight="1" x14ac:dyDescent="0.25">
      <c r="A158" s="612" t="s">
        <v>549</v>
      </c>
      <c r="B158" s="426" t="str">
        <f t="shared" si="15"/>
        <v>Công trình công nghiệp</v>
      </c>
      <c r="C158" s="56">
        <v>0.185</v>
      </c>
      <c r="D158" s="56">
        <v>0.121</v>
      </c>
      <c r="E158" s="56">
        <v>9.4E-2</v>
      </c>
      <c r="F158" s="56">
        <v>7.1999999999999995E-2</v>
      </c>
      <c r="G158" s="56">
        <v>5.5E-2</v>
      </c>
      <c r="H158" s="56">
        <v>4.1000000000000002E-2</v>
      </c>
      <c r="I158" s="56">
        <v>3.3000000000000002E-2</v>
      </c>
      <c r="J158" s="56">
        <v>2.3E-2</v>
      </c>
      <c r="K158" s="56">
        <v>0.02</v>
      </c>
      <c r="L158" s="903">
        <f t="shared" si="16"/>
        <v>0.185</v>
      </c>
      <c r="M158" s="560">
        <f>IF(M$71=15,C158,HLOOKUP($M$71,$D$71:$K$83,4,TRUE))</f>
        <v>0.185</v>
      </c>
      <c r="N158" s="36">
        <f>IF(N$71=15,C158,HLOOKUP($N$71,$D$71:$K$83,4,TRUE))</f>
        <v>0.185</v>
      </c>
      <c r="O158" s="48"/>
      <c r="P158" s="48"/>
      <c r="Q158" s="48"/>
      <c r="R158" s="48"/>
      <c r="S158" s="48"/>
      <c r="T158" s="48"/>
      <c r="U158" s="48"/>
      <c r="V158" s="48"/>
      <c r="W158" s="48"/>
    </row>
    <row r="159" spans="1:23" ht="15.4" customHeight="1" x14ac:dyDescent="0.25">
      <c r="A159" s="612" t="s">
        <v>962</v>
      </c>
      <c r="B159" s="426" t="str">
        <f t="shared" si="15"/>
        <v>Công trình giao thông</v>
      </c>
      <c r="C159" s="56">
        <v>0.106</v>
      </c>
      <c r="D159" s="56">
        <v>6.8000000000000005E-2</v>
      </c>
      <c r="E159" s="56">
        <v>5.3999999999999999E-2</v>
      </c>
      <c r="F159" s="56">
        <v>4.1000000000000002E-2</v>
      </c>
      <c r="G159" s="56">
        <v>3.1E-2</v>
      </c>
      <c r="H159" s="56">
        <v>2.4E-2</v>
      </c>
      <c r="I159" s="56">
        <v>0.02</v>
      </c>
      <c r="J159" s="56">
        <v>1.4E-2</v>
      </c>
      <c r="K159" s="56">
        <v>1.2E-2</v>
      </c>
      <c r="L159" s="903">
        <f t="shared" si="16"/>
        <v>0.106</v>
      </c>
      <c r="M159" s="560">
        <f>IF(M$71=15,C159,HLOOKUP($M$71,$D$71:$K$83,5,TRUE))</f>
        <v>0.106</v>
      </c>
      <c r="N159" s="36">
        <f>IF(N$71=15,C159,HLOOKUP($N$71,$D$71:$K$83,5,TRUE))</f>
        <v>0.106</v>
      </c>
      <c r="O159" s="48"/>
      <c r="P159" s="48"/>
      <c r="Q159" s="48"/>
      <c r="R159" s="48"/>
      <c r="S159" s="48"/>
      <c r="T159" s="48"/>
      <c r="U159" s="48"/>
      <c r="V159" s="48"/>
      <c r="W159" s="48"/>
    </row>
    <row r="160" spans="1:23" ht="30.6" customHeight="1" x14ac:dyDescent="0.25">
      <c r="A160" s="612" t="s">
        <v>1342</v>
      </c>
      <c r="B160" s="131" t="str">
        <f t="shared" si="15"/>
        <v>Công trình nông nghiệp và phát triển nông thôn</v>
      </c>
      <c r="C160" s="56">
        <v>0.11700000000000001</v>
      </c>
      <c r="D160" s="56">
        <v>7.5999999999999998E-2</v>
      </c>
      <c r="E160" s="56">
        <v>0.06</v>
      </c>
      <c r="F160" s="56">
        <v>4.5999999999999999E-2</v>
      </c>
      <c r="G160" s="56">
        <v>3.5000000000000003E-2</v>
      </c>
      <c r="H160" s="56">
        <v>2.5999999999999999E-2</v>
      </c>
      <c r="I160" s="56">
        <v>2.1999999999999999E-2</v>
      </c>
      <c r="J160" s="56">
        <v>1.6E-2</v>
      </c>
      <c r="K160" s="56">
        <v>1.4E-2</v>
      </c>
      <c r="L160" s="166">
        <f t="shared" si="16"/>
        <v>0.11700000000000001</v>
      </c>
      <c r="M160" s="560">
        <f>IF(M$71=15,C160,HLOOKUP($M$71,$D$71:$K$83,6,TRUE))</f>
        <v>0.11700000000000001</v>
      </c>
      <c r="N160" s="36">
        <f>IF(N$71=15,C160,HLOOKUP($N$71,$D$71:$K$83,6,TRUE))</f>
        <v>0.11700000000000001</v>
      </c>
      <c r="O160" s="48"/>
      <c r="P160" s="48"/>
      <c r="Q160" s="48"/>
      <c r="R160" s="48"/>
      <c r="S160" s="48"/>
      <c r="T160" s="48"/>
      <c r="U160" s="48"/>
      <c r="V160" s="48"/>
      <c r="W160" s="48"/>
    </row>
    <row r="161" spans="1:23" ht="15.4" customHeight="1" x14ac:dyDescent="0.25">
      <c r="A161" s="612" t="s">
        <v>1317</v>
      </c>
      <c r="B161" s="426" t="str">
        <f t="shared" si="15"/>
        <v>Công trình hạ tầng kỹ thuật</v>
      </c>
      <c r="C161" s="56">
        <v>0.122</v>
      </c>
      <c r="D161" s="56">
        <v>8.2000000000000003E-2</v>
      </c>
      <c r="E161" s="56">
        <v>6.2E-2</v>
      </c>
      <c r="F161" s="56">
        <v>4.7E-2</v>
      </c>
      <c r="G161" s="56">
        <v>3.6999999999999998E-2</v>
      </c>
      <c r="H161" s="56">
        <v>2.9000000000000001E-2</v>
      </c>
      <c r="I161" s="56">
        <v>2.4E-2</v>
      </c>
      <c r="J161" s="56">
        <v>1.7000000000000001E-2</v>
      </c>
      <c r="K161" s="56">
        <v>1.4E-2</v>
      </c>
      <c r="L161" s="903">
        <f t="shared" si="16"/>
        <v>0.122</v>
      </c>
      <c r="M161" s="560">
        <f>IF(M$71=15,C161,HLOOKUP($M$71,$D$71:$K$83,7,TRUE))</f>
        <v>0.122</v>
      </c>
      <c r="N161" s="36">
        <f>IF(N$71=15,C161,HLOOKUP($N$71,$D$71:$K$83,7,TRUE))</f>
        <v>0.122</v>
      </c>
      <c r="O161" s="48"/>
      <c r="P161" s="48"/>
      <c r="Q161" s="48"/>
      <c r="R161" s="48"/>
      <c r="S161" s="48"/>
      <c r="T161" s="48"/>
      <c r="U161" s="48"/>
      <c r="V161" s="48"/>
      <c r="W161" s="48"/>
    </row>
    <row r="162" spans="1:23" ht="292.89999999999998" customHeight="1" x14ac:dyDescent="0.25">
      <c r="A162" s="1273" t="s">
        <v>612</v>
      </c>
      <c r="B162" s="1274"/>
      <c r="C162" s="1274"/>
      <c r="D162" s="1274"/>
      <c r="E162" s="1274"/>
      <c r="F162" s="1274"/>
      <c r="G162" s="1274"/>
      <c r="H162" s="1274"/>
      <c r="I162" s="1274"/>
      <c r="J162" s="1274"/>
      <c r="K162" s="1275"/>
      <c r="L162" s="426"/>
      <c r="M162" s="426"/>
      <c r="N162" s="426"/>
      <c r="O162" s="48"/>
      <c r="P162" s="48"/>
      <c r="Q162" s="48"/>
      <c r="R162" s="48"/>
      <c r="S162" s="48"/>
      <c r="T162" s="48"/>
      <c r="U162" s="48"/>
      <c r="V162" s="48"/>
      <c r="W162" s="48"/>
    </row>
    <row r="163" spans="1:23" ht="15.4" customHeight="1" x14ac:dyDescent="0.25">
      <c r="A163" s="612" t="s">
        <v>393</v>
      </c>
      <c r="B163" s="426" t="str">
        <f t="shared" ref="B163:B167" si="17">B48</f>
        <v>Công trình dân dụng</v>
      </c>
      <c r="C163" s="452">
        <v>4.8000000000000001E-2</v>
      </c>
      <c r="D163" s="452">
        <v>3.1800000000000002E-2</v>
      </c>
      <c r="E163" s="452">
        <v>2.4899999999999999E-2</v>
      </c>
      <c r="F163" s="452">
        <v>1.8599999999999998E-2</v>
      </c>
      <c r="G163" s="452">
        <v>1.38E-2</v>
      </c>
      <c r="H163" s="452">
        <v>1.14E-2</v>
      </c>
      <c r="I163" s="452">
        <v>8.3999999999999995E-3</v>
      </c>
      <c r="J163" s="452">
        <v>6.3E-3</v>
      </c>
      <c r="K163" s="452">
        <v>5.4000000000000003E-3</v>
      </c>
      <c r="L163" s="399">
        <f t="shared" ref="L163:L167" si="18">IF(N$71=M$71,M163,ROUND(M163-((M163-N163)/(N$71-M$71))*(L$71-M$71),4))</f>
        <v>4.8000000000000001E-2</v>
      </c>
      <c r="M163" s="34">
        <f>IF(M$71=15,C163,HLOOKUP($M$71,$D$71:$K$83,9,TRUE))</f>
        <v>4.8000000000000001E-2</v>
      </c>
      <c r="N163" s="433">
        <f>IF(N$71=15,C163,HLOOKUP($N$71,$D$71:$K$83,9,TRUE))</f>
        <v>4.8000000000000001E-2</v>
      </c>
      <c r="O163" s="48"/>
      <c r="P163" s="48"/>
      <c r="Q163" s="48"/>
      <c r="R163" s="48"/>
      <c r="S163" s="48"/>
      <c r="T163" s="48"/>
      <c r="U163" s="48"/>
      <c r="V163" s="48"/>
      <c r="W163" s="48"/>
    </row>
    <row r="164" spans="1:23" ht="15.4" customHeight="1" x14ac:dyDescent="0.25">
      <c r="A164" s="612" t="s">
        <v>776</v>
      </c>
      <c r="B164" s="426" t="str">
        <f t="shared" si="17"/>
        <v>Công trình công nghiệp</v>
      </c>
      <c r="C164" s="452">
        <v>5.5500000000000001E-2</v>
      </c>
      <c r="D164" s="452">
        <v>3.6299999999999999E-2</v>
      </c>
      <c r="E164" s="452">
        <v>2.8199999999999999E-2</v>
      </c>
      <c r="F164" s="452">
        <v>2.1600000000000001E-2</v>
      </c>
      <c r="G164" s="452">
        <v>1.6500000000000001E-2</v>
      </c>
      <c r="H164" s="452">
        <v>1.23E-2</v>
      </c>
      <c r="I164" s="452">
        <v>9.9000000000000008E-3</v>
      </c>
      <c r="J164" s="452">
        <v>6.8999999999999999E-3</v>
      </c>
      <c r="K164" s="452">
        <v>6.0000000000000001E-3</v>
      </c>
      <c r="L164" s="399">
        <f t="shared" si="18"/>
        <v>5.5500000000000001E-2</v>
      </c>
      <c r="M164" s="34">
        <f>IF(M$71=15,C164,HLOOKUP($M$71,$D$71:$K$83,10,TRUE))</f>
        <v>5.5500000000000001E-2</v>
      </c>
      <c r="N164" s="433">
        <f>IF(N$71=15,C164,HLOOKUP($N$71,$D$71:$K$83,10,TRUE))</f>
        <v>5.5500000000000001E-2</v>
      </c>
      <c r="O164" s="48"/>
      <c r="P164" s="48"/>
      <c r="Q164" s="48"/>
      <c r="R164" s="48"/>
      <c r="S164" s="48"/>
      <c r="T164" s="48"/>
      <c r="U164" s="48"/>
      <c r="V164" s="48"/>
      <c r="W164" s="48"/>
    </row>
    <row r="165" spans="1:23" ht="15.4" customHeight="1" x14ac:dyDescent="0.25">
      <c r="A165" s="612" t="s">
        <v>748</v>
      </c>
      <c r="B165" s="426" t="str">
        <f t="shared" si="17"/>
        <v>Công trình giao thông</v>
      </c>
      <c r="C165" s="452">
        <v>3.1800000000000002E-2</v>
      </c>
      <c r="D165" s="452">
        <v>2.0400000000000001E-2</v>
      </c>
      <c r="E165" s="452">
        <v>1.6199999999999999E-2</v>
      </c>
      <c r="F165" s="452">
        <v>1.23E-2</v>
      </c>
      <c r="G165" s="452">
        <v>9.2999999999999992E-3</v>
      </c>
      <c r="H165" s="452">
        <v>7.1999999999999998E-3</v>
      </c>
      <c r="I165" s="452">
        <v>6.0000000000000001E-3</v>
      </c>
      <c r="J165" s="452">
        <v>4.1999999999999997E-3</v>
      </c>
      <c r="K165" s="452">
        <v>3.5999999999999999E-3</v>
      </c>
      <c r="L165" s="399">
        <f t="shared" si="18"/>
        <v>3.1800000000000002E-2</v>
      </c>
      <c r="M165" s="34">
        <f>IF(M$71=15,C165,HLOOKUP($M$71,$D$71:$K$83,11,TRUE))</f>
        <v>3.1800000000000002E-2</v>
      </c>
      <c r="N165" s="433">
        <f>IF(N$71=15,C165,HLOOKUP($N$71,$D$71:$K$83,11,TRUE))</f>
        <v>3.1800000000000002E-2</v>
      </c>
      <c r="O165" s="48"/>
      <c r="P165" s="48"/>
      <c r="Q165" s="48"/>
      <c r="R165" s="48"/>
      <c r="S165" s="48"/>
      <c r="T165" s="48"/>
      <c r="U165" s="48"/>
      <c r="V165" s="48"/>
      <c r="W165" s="48"/>
    </row>
    <row r="166" spans="1:23" ht="30.6" customHeight="1" x14ac:dyDescent="0.25">
      <c r="A166" s="612" t="s">
        <v>1174</v>
      </c>
      <c r="B166" s="131" t="str">
        <f t="shared" si="17"/>
        <v>Công trình nông nghiệp và phát triển nông thôn</v>
      </c>
      <c r="C166" s="452">
        <v>3.5099999999999999E-2</v>
      </c>
      <c r="D166" s="452">
        <v>2.2800000000000001E-2</v>
      </c>
      <c r="E166" s="452">
        <v>1.7999999999999999E-2</v>
      </c>
      <c r="F166" s="452">
        <v>1.38E-2</v>
      </c>
      <c r="G166" s="452">
        <v>1.0500000000000001E-2</v>
      </c>
      <c r="H166" s="452">
        <v>7.7999999999999996E-3</v>
      </c>
      <c r="I166" s="452">
        <v>6.6E-3</v>
      </c>
      <c r="J166" s="452">
        <v>4.7999999999999996E-3</v>
      </c>
      <c r="K166" s="452">
        <v>4.1999999999999997E-3</v>
      </c>
      <c r="L166" s="399">
        <f t="shared" si="18"/>
        <v>3.5099999999999999E-2</v>
      </c>
      <c r="M166" s="34">
        <f>IF(M$71=15,C166,HLOOKUP($M$71,$D$71:$K$83,12,TRUE))</f>
        <v>3.5099999999999999E-2</v>
      </c>
      <c r="N166" s="433">
        <f>IF(N$71=15,C166,HLOOKUP($N$71,$D$71:$K$83,12,TRUE))</f>
        <v>3.5099999999999999E-2</v>
      </c>
      <c r="O166" s="48"/>
      <c r="P166" s="48"/>
      <c r="Q166" s="48"/>
      <c r="R166" s="48"/>
      <c r="S166" s="48"/>
      <c r="T166" s="48"/>
      <c r="U166" s="48"/>
      <c r="V166" s="48"/>
      <c r="W166" s="48"/>
    </row>
    <row r="167" spans="1:23" ht="15.4" customHeight="1" x14ac:dyDescent="0.25">
      <c r="A167" s="612" t="s">
        <v>54</v>
      </c>
      <c r="B167" s="426" t="str">
        <f t="shared" si="17"/>
        <v>Công trình hạ tầng kỹ thuật</v>
      </c>
      <c r="C167" s="452">
        <v>3.6600000000000001E-2</v>
      </c>
      <c r="D167" s="452">
        <v>2.46E-2</v>
      </c>
      <c r="E167" s="452">
        <v>1.8599999999999998E-2</v>
      </c>
      <c r="F167" s="452">
        <v>1.41E-2</v>
      </c>
      <c r="G167" s="452">
        <v>1.11E-2</v>
      </c>
      <c r="H167" s="452">
        <v>8.6999999999999994E-3</v>
      </c>
      <c r="I167" s="452">
        <v>7.1999999999999998E-3</v>
      </c>
      <c r="J167" s="452">
        <v>5.1000000000000004E-3</v>
      </c>
      <c r="K167" s="452">
        <v>4.1999999999999997E-3</v>
      </c>
      <c r="L167" s="399">
        <f t="shared" si="18"/>
        <v>3.6600000000000001E-2</v>
      </c>
      <c r="M167" s="34">
        <f>IF(M$71=15,C167,HLOOKUP($M$71,$D$71:$K$83,13,TRUE))</f>
        <v>3.6600000000000001E-2</v>
      </c>
      <c r="N167" s="433">
        <f>IF(N$71=15,C167,HLOOKUP($N$71,$D$71:$K$83,13,TRUE))</f>
        <v>3.6600000000000001E-2</v>
      </c>
      <c r="O167" s="48"/>
      <c r="P167" s="48"/>
      <c r="Q167" s="48"/>
      <c r="R167" s="48"/>
      <c r="S167" s="48"/>
      <c r="T167" s="48"/>
      <c r="U167" s="48"/>
      <c r="V167" s="48"/>
      <c r="W167" s="48"/>
    </row>
    <row r="168" spans="1:23" ht="12.75" hidden="1" customHeight="1" x14ac:dyDescent="0.25">
      <c r="A168" s="48" t="s">
        <v>1416</v>
      </c>
      <c r="B168" s="48"/>
      <c r="C168" s="48"/>
      <c r="D168" s="48"/>
      <c r="E168" s="48"/>
      <c r="F168" s="48"/>
      <c r="G168" s="48"/>
      <c r="H168" s="48"/>
      <c r="I168" s="48"/>
      <c r="J168" s="48"/>
      <c r="K168" s="48"/>
      <c r="L168" s="48"/>
      <c r="M168" s="560">
        <f>IF(M$71=15,C168,HLOOKUP($M$71,$D$71:$K$83,2,TRUE))</f>
        <v>0</v>
      </c>
      <c r="N168" s="48"/>
      <c r="O168" s="48"/>
      <c r="P168" s="48"/>
      <c r="Q168" s="48"/>
      <c r="R168" s="48"/>
      <c r="S168" s="48"/>
      <c r="T168" s="48"/>
      <c r="U168" s="48"/>
      <c r="V168" s="48"/>
      <c r="W168" s="48"/>
    </row>
    <row r="169" spans="1:23" ht="15.4"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row>
    <row r="170" spans="1:23" ht="15.4" customHeight="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row>
    <row r="171" spans="1:23" ht="15.4" customHeight="1" x14ac:dyDescent="0.25">
      <c r="A171" s="1133" t="s">
        <v>542</v>
      </c>
      <c r="B171" s="1133"/>
      <c r="C171" s="1133"/>
      <c r="D171" s="1133"/>
      <c r="E171" s="1133"/>
      <c r="F171" s="1133"/>
      <c r="G171" s="1133"/>
      <c r="H171" s="1133"/>
      <c r="I171" s="1133"/>
      <c r="J171" s="1133"/>
      <c r="K171" s="1133"/>
      <c r="L171" s="1133"/>
      <c r="M171" s="1133"/>
      <c r="N171" s="1133"/>
      <c r="O171" s="48"/>
      <c r="P171" s="48"/>
      <c r="Q171" s="48"/>
      <c r="R171" s="48"/>
      <c r="S171" s="48"/>
      <c r="T171" s="48"/>
      <c r="U171" s="48"/>
      <c r="V171" s="48"/>
      <c r="W171" s="48"/>
    </row>
    <row r="172" spans="1:23" ht="15.4" customHeight="1" x14ac:dyDescent="0.25">
      <c r="A172" s="1133" t="s">
        <v>764</v>
      </c>
      <c r="B172" s="1133"/>
      <c r="C172" s="1133"/>
      <c r="D172" s="1133"/>
      <c r="E172" s="1133"/>
      <c r="F172" s="1133"/>
      <c r="G172" s="1133"/>
      <c r="H172" s="1133"/>
      <c r="I172" s="1133"/>
      <c r="J172" s="1133"/>
      <c r="K172" s="1133"/>
      <c r="L172" s="1133"/>
      <c r="M172" s="1133"/>
      <c r="N172" s="1133"/>
      <c r="O172" s="48"/>
      <c r="P172" s="48"/>
      <c r="Q172" s="48"/>
      <c r="R172" s="48"/>
      <c r="S172" s="48"/>
      <c r="T172" s="48"/>
      <c r="U172" s="48"/>
      <c r="V172" s="48"/>
      <c r="W172" s="48"/>
    </row>
    <row r="173" spans="1:23" ht="15.4"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row>
    <row r="174" spans="1:23" ht="15.4" customHeight="1" x14ac:dyDescent="0.25">
      <c r="A174" s="1272" t="s">
        <v>1466</v>
      </c>
      <c r="B174" s="1272"/>
      <c r="C174" s="1272"/>
      <c r="D174" s="1272"/>
      <c r="E174" s="1272"/>
      <c r="F174" s="1272"/>
      <c r="G174" s="1272"/>
      <c r="H174" s="48"/>
      <c r="I174" s="48"/>
      <c r="J174" s="48"/>
      <c r="K174" s="48"/>
      <c r="L174" s="48"/>
      <c r="M174" s="48"/>
      <c r="N174" s="48"/>
      <c r="O174" s="48"/>
      <c r="P174" s="48"/>
      <c r="Q174" s="48"/>
      <c r="R174" s="48"/>
      <c r="S174" s="48"/>
      <c r="T174" s="48"/>
      <c r="U174" s="48"/>
      <c r="V174" s="48"/>
      <c r="W174" s="48"/>
    </row>
    <row r="175" spans="1:23" ht="15.4" customHeight="1" x14ac:dyDescent="0.25">
      <c r="A175" s="48"/>
      <c r="B175" s="48"/>
      <c r="C175" s="48"/>
      <c r="D175" s="48"/>
      <c r="E175" s="48"/>
      <c r="F175" s="48"/>
      <c r="G175" s="48"/>
      <c r="H175" s="48"/>
      <c r="I175" s="48"/>
      <c r="J175" s="48"/>
      <c r="K175" s="1269" t="s">
        <v>681</v>
      </c>
      <c r="L175" s="1269"/>
      <c r="M175" s="1269"/>
      <c r="N175" s="1269"/>
      <c r="O175" s="48"/>
      <c r="P175" s="48"/>
      <c r="Q175" s="48"/>
      <c r="R175" s="48"/>
      <c r="S175" s="48"/>
      <c r="T175" s="48"/>
      <c r="U175" s="48"/>
      <c r="V175" s="48"/>
      <c r="W175" s="48"/>
    </row>
    <row r="176" spans="1:23" ht="12.75" hidden="1" customHeight="1" x14ac:dyDescent="0.25">
      <c r="A176" s="48" t="s">
        <v>1283</v>
      </c>
      <c r="B176" s="48"/>
      <c r="C176" s="48"/>
      <c r="D176" s="48"/>
      <c r="E176" s="48"/>
      <c r="F176" s="48"/>
      <c r="G176" s="48"/>
      <c r="H176" s="48"/>
      <c r="I176" s="48"/>
      <c r="J176" s="48"/>
      <c r="K176" s="48"/>
      <c r="L176" s="48"/>
      <c r="M176" s="48"/>
      <c r="N176" s="48" t="s">
        <v>1080</v>
      </c>
      <c r="O176" s="48"/>
      <c r="P176" s="48"/>
      <c r="Q176" s="48"/>
      <c r="R176" s="48"/>
      <c r="S176" s="48"/>
      <c r="T176" s="48"/>
      <c r="U176" s="48"/>
      <c r="V176" s="48"/>
      <c r="W176" s="48"/>
    </row>
    <row r="177" spans="1:23" ht="15.4" customHeight="1" x14ac:dyDescent="0.25">
      <c r="A177" s="1285" t="s">
        <v>172</v>
      </c>
      <c r="B177" s="1285" t="s">
        <v>589</v>
      </c>
      <c r="C177" s="1285" t="s">
        <v>1370</v>
      </c>
      <c r="D177" s="1285"/>
      <c r="E177" s="1285"/>
      <c r="F177" s="1285"/>
      <c r="G177" s="1285"/>
      <c r="H177" s="1285"/>
      <c r="I177" s="1285"/>
      <c r="J177" s="1285"/>
      <c r="K177" s="1285"/>
      <c r="L177" s="1285"/>
      <c r="M177" s="1285"/>
      <c r="N177" s="1285"/>
      <c r="O177" s="373" t="s">
        <v>823</v>
      </c>
      <c r="P177" s="902" t="s">
        <v>628</v>
      </c>
      <c r="Q177" s="13" t="s">
        <v>298</v>
      </c>
      <c r="R177" s="541"/>
      <c r="S177" s="541"/>
      <c r="T177" s="541"/>
      <c r="U177" s="541"/>
      <c r="V177" s="541"/>
      <c r="W177" s="541"/>
    </row>
    <row r="178" spans="1:23" ht="15.4" customHeight="1" x14ac:dyDescent="0.25">
      <c r="A178" s="1285"/>
      <c r="B178" s="1285"/>
      <c r="C178" s="423" t="s">
        <v>1412</v>
      </c>
      <c r="D178" s="423">
        <v>20</v>
      </c>
      <c r="E178" s="423">
        <v>50</v>
      </c>
      <c r="F178" s="423">
        <v>100</v>
      </c>
      <c r="G178" s="423">
        <v>200</v>
      </c>
      <c r="H178" s="423">
        <v>500</v>
      </c>
      <c r="I178" s="126">
        <v>1000</v>
      </c>
      <c r="J178" s="126">
        <v>2000</v>
      </c>
      <c r="K178" s="126">
        <v>5000</v>
      </c>
      <c r="L178" s="126">
        <v>10000</v>
      </c>
      <c r="M178" s="126">
        <v>20000</v>
      </c>
      <c r="N178" s="126">
        <v>30000</v>
      </c>
      <c r="O178" s="373">
        <f>$C$1+$C$2</f>
        <v>1.1435271830114</v>
      </c>
      <c r="P178" s="902">
        <f>IF(O178&lt;D178,10,IF(O178&gt;N178,N178,HLOOKUP(O178,D178:N178,1)))</f>
        <v>10</v>
      </c>
      <c r="Q178" s="13">
        <f>IF(O178&lt;10,10,IF(O178&lt;20,20,IF(O178&gt;N178,N178,INDEX(D178:N178,MATCH(O178,D178:N178,1)+1))))</f>
        <v>10</v>
      </c>
      <c r="R178" s="541"/>
      <c r="S178" s="541"/>
      <c r="T178" s="541"/>
      <c r="U178" s="541"/>
      <c r="V178" s="541"/>
      <c r="W178" s="541"/>
    </row>
    <row r="179" spans="1:23" ht="15.4" customHeight="1" x14ac:dyDescent="0.25">
      <c r="A179" s="265">
        <v>1</v>
      </c>
      <c r="B179" s="74" t="str">
        <f t="shared" ref="B179:B183" si="19">B48</f>
        <v>Công trình dân dụng</v>
      </c>
      <c r="C179" s="465">
        <v>3.282</v>
      </c>
      <c r="D179" s="465">
        <v>2.7839999999999998</v>
      </c>
      <c r="E179" s="465">
        <v>2.4860000000000002</v>
      </c>
      <c r="F179" s="465">
        <v>1.921</v>
      </c>
      <c r="G179" s="465">
        <v>1.796</v>
      </c>
      <c r="H179" s="465">
        <v>1.4419999999999999</v>
      </c>
      <c r="I179" s="465">
        <v>1.18</v>
      </c>
      <c r="J179" s="465">
        <v>0.91200000000000003</v>
      </c>
      <c r="K179" s="465">
        <v>0.67700000000000005</v>
      </c>
      <c r="L179" s="465">
        <v>0.48599999999999999</v>
      </c>
      <c r="M179" s="465">
        <v>0.36299999999999999</v>
      </c>
      <c r="N179" s="465">
        <v>0.28999999999999998</v>
      </c>
      <c r="O179" s="584">
        <f t="shared" ref="O179:O183" si="20">IF(Q$178=P$178,P179,ROUND(P179-((P179-Q179)/(Q$178-P$178))*(O$178-P$178),3))</f>
        <v>3.282</v>
      </c>
      <c r="P179" s="211">
        <f>IF(P$178=10,C179,HLOOKUP($P$178,$D$178:$N$183,2,TRUE))</f>
        <v>3.282</v>
      </c>
      <c r="Q179" s="619">
        <f>IF(Q$178=10,C179,HLOOKUP($Q$178,$D$178:$N$183,2,TRUE))</f>
        <v>3.282</v>
      </c>
      <c r="R179" s="541"/>
      <c r="S179" s="541"/>
      <c r="T179" s="541"/>
      <c r="U179" s="541"/>
      <c r="V179" s="541"/>
      <c r="W179" s="541"/>
    </row>
    <row r="180" spans="1:23" ht="15.4" customHeight="1" x14ac:dyDescent="0.25">
      <c r="A180" s="265">
        <v>2</v>
      </c>
      <c r="B180" s="74" t="str">
        <f t="shared" si="19"/>
        <v>Công trình công nghiệp</v>
      </c>
      <c r="C180" s="465">
        <v>3.4529999999999998</v>
      </c>
      <c r="D180" s="465">
        <v>2.93</v>
      </c>
      <c r="E180" s="465">
        <v>2.6160000000000001</v>
      </c>
      <c r="F180" s="465">
        <v>2.0209999999999999</v>
      </c>
      <c r="G180" s="465">
        <v>1.89</v>
      </c>
      <c r="H180" s="465">
        <v>1.518</v>
      </c>
      <c r="I180" s="465">
        <v>1.242</v>
      </c>
      <c r="J180" s="465">
        <v>1.071</v>
      </c>
      <c r="K180" s="465">
        <v>0.71299999999999997</v>
      </c>
      <c r="L180" s="465">
        <v>0.51200000000000001</v>
      </c>
      <c r="M180" s="465">
        <v>0.38200000000000001</v>
      </c>
      <c r="N180" s="465">
        <v>0.30499999999999999</v>
      </c>
      <c r="O180" s="584">
        <f t="shared" si="20"/>
        <v>3.4529999999999998</v>
      </c>
      <c r="P180" s="211">
        <f>IF(P$178=10,C180,HLOOKUP($P$178,$D$178:$N$183,3,TRUE))</f>
        <v>3.4529999999999998</v>
      </c>
      <c r="Q180" s="619">
        <f>IF(Q$178=10,C180,HLOOKUP($Q$178,$D$178:$N$183,3,TRUE))</f>
        <v>3.4529999999999998</v>
      </c>
      <c r="R180" s="541"/>
      <c r="S180" s="541"/>
      <c r="T180" s="541"/>
      <c r="U180" s="541"/>
      <c r="V180" s="541"/>
      <c r="W180" s="541"/>
    </row>
    <row r="181" spans="1:23" ht="15.4" customHeight="1" x14ac:dyDescent="0.25">
      <c r="A181" s="265">
        <v>3</v>
      </c>
      <c r="B181" s="74" t="str">
        <f t="shared" si="19"/>
        <v>Công trình giao thông</v>
      </c>
      <c r="C181" s="465">
        <v>2.9359999999999999</v>
      </c>
      <c r="D181" s="465">
        <v>2.4910000000000001</v>
      </c>
      <c r="E181" s="465">
        <v>2.2250000000000001</v>
      </c>
      <c r="F181" s="465">
        <v>1.7190000000000001</v>
      </c>
      <c r="G181" s="465">
        <v>1.607</v>
      </c>
      <c r="H181" s="465">
        <v>1.29</v>
      </c>
      <c r="I181" s="465">
        <v>1.056</v>
      </c>
      <c r="J181" s="465">
        <v>0.91</v>
      </c>
      <c r="K181" s="465">
        <v>0.60599999999999998</v>
      </c>
      <c r="L181" s="465">
        <v>0.435</v>
      </c>
      <c r="M181" s="465">
        <v>0.32500000000000001</v>
      </c>
      <c r="N181" s="465">
        <v>0.26</v>
      </c>
      <c r="O181" s="584">
        <f t="shared" si="20"/>
        <v>2.9359999999999999</v>
      </c>
      <c r="P181" s="211">
        <f>IF(P$178=10,C181,HLOOKUP($P$178,$D$178:$N$183,4,TRUE))</f>
        <v>2.9359999999999999</v>
      </c>
      <c r="Q181" s="619">
        <f>IF(Q$178=10,C181,HLOOKUP($Q$178,$D$178:$N$183,4,TRUE))</f>
        <v>2.9359999999999999</v>
      </c>
      <c r="R181" s="541"/>
      <c r="S181" s="541"/>
      <c r="T181" s="541"/>
      <c r="U181" s="541"/>
      <c r="V181" s="541"/>
      <c r="W181" s="541"/>
    </row>
    <row r="182" spans="1:23" ht="15.4" customHeight="1" x14ac:dyDescent="0.25">
      <c r="A182" s="265">
        <v>4</v>
      </c>
      <c r="B182" s="74" t="str">
        <f t="shared" si="19"/>
        <v>Công trình nông nghiệp và phát triển nông thôn</v>
      </c>
      <c r="C182" s="465">
        <v>3.1080000000000001</v>
      </c>
      <c r="D182" s="465">
        <v>2.637</v>
      </c>
      <c r="E182" s="465">
        <v>2.355</v>
      </c>
      <c r="F182" s="465">
        <v>1.819</v>
      </c>
      <c r="G182" s="465">
        <v>1.7010000000000001</v>
      </c>
      <c r="H182" s="465">
        <v>1.3660000000000001</v>
      </c>
      <c r="I182" s="465">
        <v>1.1180000000000001</v>
      </c>
      <c r="J182" s="465">
        <v>0.96399999999999997</v>
      </c>
      <c r="K182" s="465">
        <v>0.64200000000000002</v>
      </c>
      <c r="L182" s="465">
        <v>0.46100000000000002</v>
      </c>
      <c r="M182" s="465">
        <v>0.34399999999999997</v>
      </c>
      <c r="N182" s="465">
        <v>0.27500000000000002</v>
      </c>
      <c r="O182" s="584">
        <f t="shared" si="20"/>
        <v>3.1080000000000001</v>
      </c>
      <c r="P182" s="211">
        <f>IF(P$178=10,C182,HLOOKUP($P$178,$D$178:$N$183,5,TRUE))</f>
        <v>3.1080000000000001</v>
      </c>
      <c r="Q182" s="619">
        <f>IF(Q$178=10,C182,HLOOKUP($Q$178,$D$178:$N$183,5,TRUE))</f>
        <v>3.1080000000000001</v>
      </c>
      <c r="R182" s="541"/>
      <c r="S182" s="541"/>
      <c r="T182" s="541"/>
      <c r="U182" s="541"/>
      <c r="V182" s="541"/>
      <c r="W182" s="541"/>
    </row>
    <row r="183" spans="1:23" ht="15.4" customHeight="1" x14ac:dyDescent="0.25">
      <c r="A183" s="265">
        <v>5</v>
      </c>
      <c r="B183" s="74" t="str">
        <f t="shared" si="19"/>
        <v>Công trình hạ tầng kỹ thuật</v>
      </c>
      <c r="C183" s="465">
        <v>2.7629999999999999</v>
      </c>
      <c r="D183" s="465">
        <v>2.3439999999999999</v>
      </c>
      <c r="E183" s="465">
        <v>2.093</v>
      </c>
      <c r="F183" s="465">
        <v>1.5169999999999999</v>
      </c>
      <c r="G183" s="465">
        <v>1.486</v>
      </c>
      <c r="H183" s="465">
        <v>1.214</v>
      </c>
      <c r="I183" s="465">
        <v>1.02</v>
      </c>
      <c r="J183" s="465">
        <v>0.85599999999999998</v>
      </c>
      <c r="K183" s="465">
        <v>0.56999999999999995</v>
      </c>
      <c r="L183" s="465">
        <v>0.40899999999999997</v>
      </c>
      <c r="M183" s="465">
        <v>0.30599999999999999</v>
      </c>
      <c r="N183" s="465">
        <v>0.245</v>
      </c>
      <c r="O183" s="584">
        <f t="shared" si="20"/>
        <v>2.7629999999999999</v>
      </c>
      <c r="P183" s="211">
        <f>IF(P$178=10,C183,HLOOKUP($P$178,$D$178:$N$183,6,TRUE))</f>
        <v>2.7629999999999999</v>
      </c>
      <c r="Q183" s="619">
        <f>IF(Q$178=10,C183,HLOOKUP($Q$178,$D$178:$N$183,6,TRUE))</f>
        <v>2.7629999999999999</v>
      </c>
      <c r="R183" s="541"/>
      <c r="S183" s="541"/>
      <c r="T183" s="541"/>
      <c r="U183" s="541"/>
      <c r="V183" s="541"/>
      <c r="W183" s="541"/>
    </row>
    <row r="184" spans="1:23" ht="12.75" hidden="1" customHeight="1" x14ac:dyDescent="0.25">
      <c r="A184" s="48" t="s">
        <v>1306</v>
      </c>
      <c r="B184" s="48"/>
      <c r="C184" s="48"/>
      <c r="D184" s="48"/>
      <c r="E184" s="48"/>
      <c r="F184" s="48"/>
      <c r="G184" s="48"/>
      <c r="H184" s="48"/>
      <c r="I184" s="48"/>
      <c r="J184" s="48"/>
      <c r="K184" s="48"/>
      <c r="L184" s="48"/>
      <c r="M184" s="48"/>
      <c r="N184" s="48"/>
      <c r="O184" s="48"/>
      <c r="P184" s="48"/>
      <c r="Q184" s="740"/>
      <c r="R184" s="48"/>
      <c r="S184" s="48"/>
      <c r="T184" s="48"/>
      <c r="U184" s="48"/>
      <c r="V184" s="48"/>
      <c r="W184" s="48"/>
    </row>
    <row r="185" spans="1:23" ht="15.4"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row>
    <row r="186" spans="1:23" ht="15.4" customHeight="1" x14ac:dyDescent="0.25">
      <c r="A186" s="1286" t="s">
        <v>315</v>
      </c>
      <c r="B186" s="1286"/>
      <c r="C186" s="1286"/>
      <c r="D186" s="1286"/>
      <c r="E186" s="1286"/>
      <c r="F186" s="1286"/>
      <c r="G186" s="1286"/>
      <c r="H186" s="48"/>
      <c r="I186" s="48"/>
      <c r="J186" s="48"/>
      <c r="K186" s="48"/>
      <c r="L186" s="48"/>
      <c r="M186" s="48"/>
      <c r="N186" s="48"/>
      <c r="O186" s="48"/>
      <c r="P186" s="48"/>
      <c r="Q186" s="48"/>
      <c r="R186" s="48"/>
      <c r="S186" s="48"/>
      <c r="T186" s="48"/>
      <c r="U186" s="48"/>
      <c r="V186" s="48"/>
      <c r="W186" s="48"/>
    </row>
    <row r="187" spans="1:23" ht="15.4" customHeight="1" x14ac:dyDescent="0.25">
      <c r="A187" s="48"/>
      <c r="B187" s="48"/>
      <c r="C187" s="48"/>
      <c r="D187" s="48"/>
      <c r="E187" s="48"/>
      <c r="F187" s="48"/>
      <c r="G187" s="48"/>
      <c r="H187" s="48"/>
      <c r="I187" s="48"/>
      <c r="J187" s="48"/>
      <c r="K187" s="1269" t="s">
        <v>681</v>
      </c>
      <c r="L187" s="1269"/>
      <c r="M187" s="1269"/>
      <c r="N187" s="1269"/>
      <c r="O187" s="48"/>
      <c r="P187" s="48"/>
      <c r="Q187" s="48"/>
      <c r="R187" s="48"/>
      <c r="S187" s="48"/>
      <c r="T187" s="48"/>
      <c r="U187" s="48"/>
      <c r="V187" s="48"/>
      <c r="W187" s="48"/>
    </row>
    <row r="188" spans="1:23" ht="12.75" hidden="1" customHeight="1" x14ac:dyDescent="0.25">
      <c r="A188" s="48" t="s">
        <v>1006</v>
      </c>
      <c r="B188" s="48"/>
      <c r="C188" s="48"/>
      <c r="D188" s="48"/>
      <c r="E188" s="48"/>
      <c r="F188" s="48"/>
      <c r="G188" s="48"/>
      <c r="H188" s="48"/>
      <c r="I188" s="48"/>
      <c r="J188" s="48"/>
      <c r="K188" s="48"/>
      <c r="L188" s="48"/>
      <c r="M188" s="48"/>
      <c r="N188" s="48" t="s">
        <v>1080</v>
      </c>
      <c r="O188" s="48"/>
      <c r="P188" s="48"/>
      <c r="Q188" s="48"/>
      <c r="R188" s="48"/>
      <c r="S188" s="48"/>
      <c r="T188" s="48"/>
      <c r="U188" s="48"/>
      <c r="V188" s="48"/>
      <c r="W188" s="48"/>
    </row>
    <row r="189" spans="1:23" ht="15.4" customHeight="1" x14ac:dyDescent="0.25">
      <c r="A189" s="1285" t="s">
        <v>172</v>
      </c>
      <c r="B189" s="1285" t="s">
        <v>589</v>
      </c>
      <c r="C189" s="1285" t="s">
        <v>1370</v>
      </c>
      <c r="D189" s="1285"/>
      <c r="E189" s="1285"/>
      <c r="F189" s="1285"/>
      <c r="G189" s="1285"/>
      <c r="H189" s="1285"/>
      <c r="I189" s="1285"/>
      <c r="J189" s="1285"/>
      <c r="K189" s="1285"/>
      <c r="L189" s="1285"/>
      <c r="M189" s="1285"/>
      <c r="N189" s="1285"/>
      <c r="O189" s="373" t="s">
        <v>823</v>
      </c>
      <c r="P189" s="902" t="s">
        <v>628</v>
      </c>
      <c r="Q189" s="13" t="s">
        <v>298</v>
      </c>
      <c r="R189" s="541"/>
      <c r="S189" s="541"/>
      <c r="T189" s="541"/>
      <c r="U189" s="541"/>
      <c r="V189" s="541"/>
      <c r="W189" s="541"/>
    </row>
    <row r="190" spans="1:23" ht="15.4" customHeight="1" x14ac:dyDescent="0.25">
      <c r="A190" s="1285"/>
      <c r="B190" s="1285"/>
      <c r="C190" s="423" t="s">
        <v>1450</v>
      </c>
      <c r="D190" s="423">
        <v>20</v>
      </c>
      <c r="E190" s="423">
        <v>50</v>
      </c>
      <c r="F190" s="423">
        <v>100</v>
      </c>
      <c r="G190" s="423">
        <v>200</v>
      </c>
      <c r="H190" s="423">
        <v>500</v>
      </c>
      <c r="I190" s="126">
        <v>1000</v>
      </c>
      <c r="J190" s="126">
        <v>2000</v>
      </c>
      <c r="K190" s="126">
        <v>5000</v>
      </c>
      <c r="L190" s="126">
        <v>10000</v>
      </c>
      <c r="M190" s="126">
        <v>20000</v>
      </c>
      <c r="N190" s="126">
        <v>30000</v>
      </c>
      <c r="O190" s="373">
        <f>$C$1+$C$2</f>
        <v>1.1435271830114</v>
      </c>
      <c r="P190" s="902">
        <f>IF(O190&lt;D190,15,IF(O190&gt;N190,N190,HLOOKUP(O190,D190:N190,1)))</f>
        <v>15</v>
      </c>
      <c r="Q190" s="13">
        <f>IF(O190&lt;15,15,IF(O190&lt;20,20,IF(O190&gt;N190,N190,INDEX(D190:N190,MATCH(O190,D190:N190,1)+1))))</f>
        <v>15</v>
      </c>
      <c r="R190" s="541"/>
      <c r="S190" s="541"/>
      <c r="T190" s="541"/>
      <c r="U190" s="541"/>
      <c r="V190" s="541"/>
      <c r="W190" s="541"/>
    </row>
    <row r="191" spans="1:23" ht="15.4" customHeight="1" x14ac:dyDescent="0.25">
      <c r="A191" s="265">
        <v>1</v>
      </c>
      <c r="B191" s="74" t="str">
        <f t="shared" ref="B191:B195" si="21">B48</f>
        <v>Công trình dân dụng</v>
      </c>
      <c r="C191" s="465">
        <v>0.66800000000000004</v>
      </c>
      <c r="D191" s="465">
        <v>0.503</v>
      </c>
      <c r="E191" s="465">
        <v>0.376</v>
      </c>
      <c r="F191" s="465">
        <v>0.24</v>
      </c>
      <c r="G191" s="465">
        <v>0.161</v>
      </c>
      <c r="H191" s="465">
        <v>0.1</v>
      </c>
      <c r="I191" s="465">
        <v>8.5999999999999993E-2</v>
      </c>
      <c r="J191" s="465">
        <v>7.2999999999999995E-2</v>
      </c>
      <c r="K191" s="465">
        <v>0.05</v>
      </c>
      <c r="L191" s="465">
        <v>0.04</v>
      </c>
      <c r="M191" s="465">
        <v>2.5999999999999999E-2</v>
      </c>
      <c r="N191" s="465">
        <v>2.1999999999999999E-2</v>
      </c>
      <c r="O191" s="310">
        <f t="shared" ref="O191:O195" si="22">IF(Q$190=P$190,P191,ROUND(P191-((P191-Q191)/(Q$190-P$190))*(O$190-P$190),3))</f>
        <v>0.66800000000000004</v>
      </c>
      <c r="P191" s="310">
        <f>IF(P$190=0,0,IF(P$190=15,C191,HLOOKUP($P$190,$D$190:$N$195,2,TRUE)))</f>
        <v>0.66800000000000004</v>
      </c>
      <c r="Q191" s="310">
        <f>IF(Q$190=0,0,IF(Q$190=15,C191,HLOOKUP($Q$190,$D$190:$N$195,2,TRUE)))</f>
        <v>0.66800000000000004</v>
      </c>
      <c r="R191" s="541"/>
      <c r="S191" s="541"/>
      <c r="T191" s="541"/>
      <c r="U191" s="541"/>
      <c r="V191" s="541"/>
      <c r="W191" s="541"/>
    </row>
    <row r="192" spans="1:23" ht="15.4" customHeight="1" x14ac:dyDescent="0.25">
      <c r="A192" s="265">
        <v>2</v>
      </c>
      <c r="B192" s="74" t="str">
        <f t="shared" si="21"/>
        <v>Công trình công nghiệp</v>
      </c>
      <c r="C192" s="465">
        <v>0.75700000000000001</v>
      </c>
      <c r="D192" s="465">
        <v>0.61199999999999999</v>
      </c>
      <c r="E192" s="465">
        <v>0.441</v>
      </c>
      <c r="F192" s="465">
        <v>0.29399999999999998</v>
      </c>
      <c r="G192" s="465">
        <v>0.20599999999999999</v>
      </c>
      <c r="H192" s="465">
        <v>0.16300000000000001</v>
      </c>
      <c r="I192" s="465">
        <v>0.14099999999999999</v>
      </c>
      <c r="J192" s="465">
        <v>0.11</v>
      </c>
      <c r="K192" s="465">
        <v>7.3999999999999996E-2</v>
      </c>
      <c r="L192" s="465">
        <v>5.7000000000000002E-2</v>
      </c>
      <c r="M192" s="465">
        <v>3.4000000000000002E-2</v>
      </c>
      <c r="N192" s="465">
        <v>2.7E-2</v>
      </c>
      <c r="O192" s="584">
        <f t="shared" si="22"/>
        <v>0.75700000000000001</v>
      </c>
      <c r="P192" s="211">
        <f>IF(P$190=0,0,IF(P$190=15,C192,HLOOKUP($P$190,$D$190:$N$195,3,TRUE)))</f>
        <v>0.75700000000000001</v>
      </c>
      <c r="Q192" s="619">
        <f>IF(Q$190=0,0,IF(Q$190=15,C192,HLOOKUP($Q$190,$D$190:$N$195,3,TRUE)))</f>
        <v>0.75700000000000001</v>
      </c>
      <c r="R192" s="541"/>
      <c r="S192" s="541"/>
      <c r="T192" s="541"/>
      <c r="U192" s="541"/>
      <c r="V192" s="541"/>
      <c r="W192" s="541"/>
    </row>
    <row r="193" spans="1:23" ht="15.4" customHeight="1" x14ac:dyDescent="0.25">
      <c r="A193" s="265">
        <v>3</v>
      </c>
      <c r="B193" s="74" t="str">
        <f t="shared" si="21"/>
        <v>Công trình giao thông</v>
      </c>
      <c r="C193" s="465">
        <v>0.41299999999999998</v>
      </c>
      <c r="D193" s="465">
        <v>0.34499999999999997</v>
      </c>
      <c r="E193" s="465">
        <v>0.251</v>
      </c>
      <c r="F193" s="465">
        <v>0.17699999999999999</v>
      </c>
      <c r="G193" s="465">
        <v>0.108</v>
      </c>
      <c r="H193" s="465">
        <v>7.0999999999999994E-2</v>
      </c>
      <c r="I193" s="465">
        <v>6.2E-2</v>
      </c>
      <c r="J193" s="465">
        <v>5.2999999999999999E-2</v>
      </c>
      <c r="K193" s="465">
        <v>3.5999999999999997E-2</v>
      </c>
      <c r="L193" s="465">
        <v>2.9000000000000001E-2</v>
      </c>
      <c r="M193" s="465">
        <v>1.9E-2</v>
      </c>
      <c r="N193" s="465">
        <v>1.6E-2</v>
      </c>
      <c r="O193" s="584">
        <f t="shared" si="22"/>
        <v>0.41299999999999998</v>
      </c>
      <c r="P193" s="211">
        <f>IF(P$190=0,0,IF(P$190=15,C193,HLOOKUP($P$190,$D$190:$N$195,4,TRUE)))</f>
        <v>0.41299999999999998</v>
      </c>
      <c r="Q193" s="619">
        <f>IF(Q$190=0,0,IF(Q$190=15,C193,HLOOKUP($Q$190,$D$190:$N$195,4,TRUE)))</f>
        <v>0.41299999999999998</v>
      </c>
      <c r="R193" s="541"/>
      <c r="S193" s="541"/>
      <c r="T193" s="541"/>
      <c r="U193" s="541"/>
      <c r="V193" s="541"/>
      <c r="W193" s="541"/>
    </row>
    <row r="194" spans="1:23" ht="15.4" customHeight="1" x14ac:dyDescent="0.25">
      <c r="A194" s="265">
        <v>4</v>
      </c>
      <c r="B194" s="74" t="str">
        <f t="shared" si="21"/>
        <v>Công trình nông nghiệp và phát triển nông thôn</v>
      </c>
      <c r="C194" s="465">
        <v>0.56599999999999995</v>
      </c>
      <c r="D194" s="465">
        <v>0.47199999999999998</v>
      </c>
      <c r="E194" s="465">
        <v>0.34300000000000003</v>
      </c>
      <c r="F194" s="465">
        <v>0.216</v>
      </c>
      <c r="G194" s="465">
        <v>0.14399999999999999</v>
      </c>
      <c r="H194" s="465">
        <v>9.6000000000000002E-2</v>
      </c>
      <c r="I194" s="465">
        <v>8.2000000000000003E-2</v>
      </c>
      <c r="J194" s="465">
        <v>7.0000000000000007E-2</v>
      </c>
      <c r="K194" s="465">
        <v>4.8000000000000001E-2</v>
      </c>
      <c r="L194" s="465">
        <v>3.9E-2</v>
      </c>
      <c r="M194" s="465">
        <v>2.5000000000000001E-2</v>
      </c>
      <c r="N194" s="465">
        <v>2.1000000000000001E-2</v>
      </c>
      <c r="O194" s="584">
        <f t="shared" si="22"/>
        <v>0.56599999999999995</v>
      </c>
      <c r="P194" s="211">
        <f>IF(P$190=0,0,IF(P$190=15,C194,HLOOKUP($P$190,$D$190:$N$195,5,TRUE)))</f>
        <v>0.56599999999999995</v>
      </c>
      <c r="Q194" s="619">
        <f>IF(Q$190=0,0,IF(Q$190=15,C194,HLOOKUP($Q$190,$D$190:$N$195,5,TRUE)))</f>
        <v>0.56599999999999995</v>
      </c>
      <c r="R194" s="541"/>
      <c r="S194" s="541"/>
      <c r="T194" s="541"/>
      <c r="U194" s="541"/>
      <c r="V194" s="541"/>
      <c r="W194" s="541"/>
    </row>
    <row r="195" spans="1:23" ht="15.4" customHeight="1" x14ac:dyDescent="0.25">
      <c r="A195" s="265">
        <v>5</v>
      </c>
      <c r="B195" s="74" t="str">
        <f t="shared" si="21"/>
        <v>Công trình hạ tầng kỹ thuật</v>
      </c>
      <c r="C195" s="465">
        <v>0.43099999999999999</v>
      </c>
      <c r="D195" s="465">
        <v>0.36</v>
      </c>
      <c r="E195" s="465">
        <v>0.26200000000000001</v>
      </c>
      <c r="F195" s="465">
        <v>0.183</v>
      </c>
      <c r="G195" s="465">
        <v>0.112</v>
      </c>
      <c r="H195" s="465">
        <v>7.3999999999999996E-2</v>
      </c>
      <c r="I195" s="465">
        <v>6.5000000000000002E-2</v>
      </c>
      <c r="J195" s="465">
        <v>5.5E-2</v>
      </c>
      <c r="K195" s="465">
        <v>3.7999999999999999E-2</v>
      </c>
      <c r="L195" s="465">
        <v>0.03</v>
      </c>
      <c r="M195" s="465">
        <v>0.02</v>
      </c>
      <c r="N195" s="465">
        <v>1.7000000000000001E-2</v>
      </c>
      <c r="O195" s="584">
        <f t="shared" si="22"/>
        <v>0.43099999999999999</v>
      </c>
      <c r="P195" s="211">
        <f>IF(P$190=0,0,IF(P$190=15,C195,HLOOKUP($P$190,$D$190:$N$195,6,TRUE)))</f>
        <v>0.43099999999999999</v>
      </c>
      <c r="Q195" s="619">
        <f>IF(Q$190=0,0,IF(Q$190=15,C195,HLOOKUP($Q$190,$D$190:$N$195,6,TRUE)))</f>
        <v>0.43099999999999999</v>
      </c>
      <c r="R195" s="541"/>
      <c r="S195" s="541"/>
      <c r="T195" s="541"/>
      <c r="U195" s="541"/>
      <c r="V195" s="541"/>
      <c r="W195" s="541"/>
    </row>
    <row r="196" spans="1:23" ht="12.75" hidden="1" customHeight="1" x14ac:dyDescent="0.25">
      <c r="A196" s="48" t="s">
        <v>1046</v>
      </c>
      <c r="B196" s="48"/>
      <c r="C196" s="48"/>
      <c r="D196" s="48"/>
      <c r="E196" s="48"/>
      <c r="F196" s="48"/>
      <c r="G196" s="48"/>
      <c r="H196" s="48"/>
      <c r="I196" s="48"/>
      <c r="J196" s="48"/>
      <c r="K196" s="48"/>
      <c r="L196" s="48"/>
      <c r="M196" s="48"/>
      <c r="N196" s="48"/>
      <c r="O196" s="48"/>
      <c r="P196" s="48"/>
      <c r="Q196" s="36"/>
      <c r="R196" s="48"/>
      <c r="S196" s="48"/>
      <c r="T196" s="48"/>
      <c r="U196" s="48"/>
      <c r="V196" s="48"/>
      <c r="W196" s="48"/>
    </row>
    <row r="197" spans="1:23" ht="15.4" customHeight="1" x14ac:dyDescent="0.25">
      <c r="A197" s="48"/>
      <c r="B197" s="48"/>
      <c r="C197" s="48"/>
      <c r="D197" s="48"/>
      <c r="E197" s="48"/>
      <c r="F197" s="48"/>
      <c r="G197" s="48"/>
      <c r="H197" s="48"/>
      <c r="I197" s="48"/>
      <c r="J197" s="48"/>
      <c r="K197" s="48"/>
      <c r="L197" s="48"/>
      <c r="M197" s="48"/>
      <c r="N197" s="48"/>
      <c r="O197" s="48"/>
      <c r="P197" s="48"/>
      <c r="Q197" s="415"/>
      <c r="R197" s="48"/>
      <c r="S197" s="48"/>
      <c r="T197" s="48"/>
      <c r="U197" s="48"/>
      <c r="V197" s="48"/>
      <c r="W197" s="48"/>
    </row>
    <row r="198" spans="1:23" ht="15.4" customHeight="1" x14ac:dyDescent="0.25">
      <c r="A198" s="1286" t="s">
        <v>271</v>
      </c>
      <c r="B198" s="1286"/>
      <c r="C198" s="1286"/>
      <c r="D198" s="1286"/>
      <c r="E198" s="1286"/>
      <c r="F198" s="1286"/>
      <c r="G198" s="1286"/>
      <c r="H198" s="48"/>
      <c r="I198" s="48"/>
      <c r="J198" s="48"/>
      <c r="K198" s="48"/>
      <c r="L198" s="48"/>
      <c r="M198" s="48"/>
      <c r="N198" s="48"/>
      <c r="O198" s="48"/>
      <c r="P198" s="48"/>
      <c r="Q198" s="48"/>
      <c r="R198" s="48"/>
      <c r="S198" s="48"/>
      <c r="T198" s="48"/>
      <c r="U198" s="48"/>
      <c r="V198" s="48"/>
      <c r="W198" s="48"/>
    </row>
    <row r="199" spans="1:23" ht="15.4" customHeight="1" x14ac:dyDescent="0.25">
      <c r="A199" s="48"/>
      <c r="B199" s="48"/>
      <c r="C199" s="48"/>
      <c r="D199" s="48"/>
      <c r="E199" s="48"/>
      <c r="F199" s="48"/>
      <c r="G199" s="48"/>
      <c r="H199" s="48"/>
      <c r="I199" s="48"/>
      <c r="J199" s="48"/>
      <c r="K199" s="1269" t="s">
        <v>681</v>
      </c>
      <c r="L199" s="1269"/>
      <c r="M199" s="1269"/>
      <c r="N199" s="1269"/>
      <c r="O199" s="48"/>
      <c r="P199" s="48"/>
      <c r="Q199" s="48"/>
      <c r="R199" s="48"/>
      <c r="S199" s="48"/>
      <c r="T199" s="48"/>
      <c r="U199" s="48"/>
      <c r="V199" s="48"/>
      <c r="W199" s="48"/>
    </row>
    <row r="200" spans="1:23" ht="12.75" hidden="1" customHeight="1" x14ac:dyDescent="0.25">
      <c r="A200" s="48" t="s">
        <v>105</v>
      </c>
      <c r="B200" s="48"/>
      <c r="C200" s="48"/>
      <c r="D200" s="48"/>
      <c r="E200" s="48"/>
      <c r="F200" s="48"/>
      <c r="G200" s="48"/>
      <c r="H200" s="48"/>
      <c r="I200" s="48"/>
      <c r="J200" s="48"/>
      <c r="K200" s="48"/>
      <c r="L200" s="48"/>
      <c r="M200" s="48"/>
      <c r="N200" s="48" t="s">
        <v>1080</v>
      </c>
      <c r="O200" s="48"/>
      <c r="P200" s="48"/>
      <c r="Q200" s="48"/>
      <c r="R200" s="48"/>
      <c r="S200" s="48"/>
      <c r="T200" s="48"/>
      <c r="U200" s="48"/>
      <c r="V200" s="48"/>
      <c r="W200" s="48"/>
    </row>
    <row r="201" spans="1:23" ht="15.4" customHeight="1" x14ac:dyDescent="0.25">
      <c r="A201" s="1285" t="s">
        <v>172</v>
      </c>
      <c r="B201" s="1285" t="s">
        <v>589</v>
      </c>
      <c r="C201" s="1285" t="s">
        <v>1370</v>
      </c>
      <c r="D201" s="1285"/>
      <c r="E201" s="1285"/>
      <c r="F201" s="1285"/>
      <c r="G201" s="1285"/>
      <c r="H201" s="1285"/>
      <c r="I201" s="1285"/>
      <c r="J201" s="1285"/>
      <c r="K201" s="1285"/>
      <c r="L201" s="1285"/>
      <c r="M201" s="1285"/>
      <c r="N201" s="1285"/>
      <c r="O201" s="373" t="s">
        <v>823</v>
      </c>
      <c r="P201" s="902" t="s">
        <v>628</v>
      </c>
      <c r="Q201" s="13" t="s">
        <v>298</v>
      </c>
      <c r="R201" s="541"/>
      <c r="S201" s="541"/>
      <c r="T201" s="541"/>
      <c r="U201" s="541"/>
      <c r="V201" s="541"/>
      <c r="W201" s="541"/>
    </row>
    <row r="202" spans="1:23" ht="15.4" customHeight="1" x14ac:dyDescent="0.25">
      <c r="A202" s="1285"/>
      <c r="B202" s="1285"/>
      <c r="C202" s="423" t="s">
        <v>1450</v>
      </c>
      <c r="D202" s="423">
        <v>20</v>
      </c>
      <c r="E202" s="423">
        <v>50</v>
      </c>
      <c r="F202" s="423">
        <v>100</v>
      </c>
      <c r="G202" s="423">
        <v>200</v>
      </c>
      <c r="H202" s="423">
        <v>500</v>
      </c>
      <c r="I202" s="126">
        <v>1000</v>
      </c>
      <c r="J202" s="126">
        <v>2000</v>
      </c>
      <c r="K202" s="126">
        <v>5000</v>
      </c>
      <c r="L202" s="126">
        <v>10000</v>
      </c>
      <c r="M202" s="126">
        <v>20000</v>
      </c>
      <c r="N202" s="126">
        <v>30000</v>
      </c>
      <c r="O202" s="373">
        <f>$C$1+$C$2</f>
        <v>1.1435271830114</v>
      </c>
      <c r="P202" s="902">
        <f>IF(O202&lt;D202,15,IF(O202&gt;N202,N202,HLOOKUP(O202,D202:N202,1)))</f>
        <v>15</v>
      </c>
      <c r="Q202" s="13">
        <f>IF(O202&lt;15,15,IF(O202&lt;20,20,IF(O202&gt;N202,N202,INDEX(D202:N202,MATCH(O202,D202:N202,1)+1))))</f>
        <v>15</v>
      </c>
      <c r="R202" s="541"/>
      <c r="S202" s="541"/>
      <c r="T202" s="541"/>
      <c r="U202" s="541"/>
      <c r="V202" s="541"/>
      <c r="W202" s="541"/>
    </row>
    <row r="203" spans="1:23" ht="15.4" customHeight="1" x14ac:dyDescent="0.25">
      <c r="A203" s="265">
        <v>1</v>
      </c>
      <c r="B203" s="74" t="str">
        <f t="shared" ref="B203:B207" si="23">B48</f>
        <v>Công trình dân dụng</v>
      </c>
      <c r="C203" s="465">
        <v>1.1140000000000001</v>
      </c>
      <c r="D203" s="465">
        <v>0.91400000000000003</v>
      </c>
      <c r="E203" s="465">
        <v>0.751</v>
      </c>
      <c r="F203" s="465">
        <v>0.53400000000000003</v>
      </c>
      <c r="G203" s="465">
        <v>0.40200000000000002</v>
      </c>
      <c r="H203" s="465">
        <v>0.28699999999999998</v>
      </c>
      <c r="I203" s="465">
        <v>0.246</v>
      </c>
      <c r="J203" s="465">
        <v>0.20899999999999999</v>
      </c>
      <c r="K203" s="465">
        <v>0.16700000000000001</v>
      </c>
      <c r="L203" s="465">
        <v>0.13400000000000001</v>
      </c>
      <c r="M203" s="465">
        <v>0.10199999999999999</v>
      </c>
      <c r="N203" s="465">
        <v>8.5999999999999993E-2</v>
      </c>
      <c r="O203" s="584">
        <f t="shared" ref="O203:O207" si="24">IF(Q$202=P$202,P203,ROUND(P203-((P203-Q203)/(Q$202-P$202))*(O$202-P$202),3))</f>
        <v>1.1140000000000001</v>
      </c>
      <c r="P203" s="211">
        <f>IF(P$202=0,0,IF(P$202=15,C203,HLOOKUP($P$202,$D$202:$N$207,2,TRUE)))</f>
        <v>1.1140000000000001</v>
      </c>
      <c r="Q203" s="619">
        <f>IF(Q$202=0,0,IF(Q$202=15,C203,HLOOKUP($Q$202,$D$202:$N$207,2,TRUE)))</f>
        <v>1.1140000000000001</v>
      </c>
      <c r="R203" s="541"/>
      <c r="S203" s="541"/>
      <c r="T203" s="541"/>
      <c r="U203" s="541"/>
      <c r="V203" s="541"/>
      <c r="W203" s="541"/>
    </row>
    <row r="204" spans="1:23" ht="15.4" customHeight="1" x14ac:dyDescent="0.25">
      <c r="A204" s="265">
        <v>2</v>
      </c>
      <c r="B204" s="74" t="str">
        <f t="shared" si="23"/>
        <v>Công trình công nghiệp</v>
      </c>
      <c r="C204" s="465">
        <v>1.2609999999999999</v>
      </c>
      <c r="D204" s="465">
        <v>1.1120000000000001</v>
      </c>
      <c r="E204" s="465">
        <v>0.88200000000000001</v>
      </c>
      <c r="F204" s="465">
        <v>0.65400000000000003</v>
      </c>
      <c r="G204" s="465">
        <v>0.51500000000000001</v>
      </c>
      <c r="H204" s="465">
        <v>0.46600000000000003</v>
      </c>
      <c r="I204" s="465">
        <v>0.40400000000000003</v>
      </c>
      <c r="J204" s="465">
        <v>0.315</v>
      </c>
      <c r="K204" s="465">
        <v>0.248</v>
      </c>
      <c r="L204" s="465">
        <v>0.189</v>
      </c>
      <c r="M204" s="465">
        <v>0.13500000000000001</v>
      </c>
      <c r="N204" s="465">
        <v>0.107</v>
      </c>
      <c r="O204" s="584">
        <f t="shared" si="24"/>
        <v>1.2609999999999999</v>
      </c>
      <c r="P204" s="211">
        <f>IF(P$202=0,0,IF(P$202=15,C204,HLOOKUP($P$202,$D$202:$N$207,3,TRUE)))</f>
        <v>1.2609999999999999</v>
      </c>
      <c r="Q204" s="619">
        <f>IF(Q$202=0,0,IF(Q$202=15,C204,HLOOKUP($Q$202,$D$202:$N$207,3,TRUE)))</f>
        <v>1.2609999999999999</v>
      </c>
      <c r="R204" s="541"/>
      <c r="S204" s="541"/>
      <c r="T204" s="541"/>
      <c r="U204" s="541"/>
      <c r="V204" s="541"/>
      <c r="W204" s="541"/>
    </row>
    <row r="205" spans="1:23" ht="15.4" customHeight="1" x14ac:dyDescent="0.25">
      <c r="A205" s="265">
        <v>3</v>
      </c>
      <c r="B205" s="74" t="str">
        <f t="shared" si="23"/>
        <v>Công trình giao thông</v>
      </c>
      <c r="C205" s="465">
        <v>0.68899999999999995</v>
      </c>
      <c r="D205" s="465">
        <v>0.628</v>
      </c>
      <c r="E205" s="465">
        <v>0.501</v>
      </c>
      <c r="F205" s="465">
        <v>0.39300000000000002</v>
      </c>
      <c r="G205" s="465">
        <v>0.27100000000000002</v>
      </c>
      <c r="H205" s="465">
        <v>0.20300000000000001</v>
      </c>
      <c r="I205" s="465">
        <v>0.17699999999999999</v>
      </c>
      <c r="J205" s="465">
        <v>0.151</v>
      </c>
      <c r="K205" s="465">
        <v>0.12</v>
      </c>
      <c r="L205" s="465">
        <v>9.7000000000000003E-2</v>
      </c>
      <c r="M205" s="465">
        <v>7.4999999999999997E-2</v>
      </c>
      <c r="N205" s="465">
        <v>6.3E-2</v>
      </c>
      <c r="O205" s="584">
        <f t="shared" si="24"/>
        <v>0.68899999999999995</v>
      </c>
      <c r="P205" s="211">
        <f>IF(P$202=0,0,IF(P$202=15,C205,HLOOKUP($P$202,$D$202:$N$207,4,TRUE)))</f>
        <v>0.68899999999999995</v>
      </c>
      <c r="Q205" s="619">
        <f>IF(Q$202=0,0,IF(Q$202=15,C205,HLOOKUP($Q$202,$D$202:$N$207,4,TRUE)))</f>
        <v>0.68899999999999995</v>
      </c>
      <c r="R205" s="541"/>
      <c r="S205" s="541"/>
      <c r="T205" s="541"/>
      <c r="U205" s="541"/>
      <c r="V205" s="541"/>
      <c r="W205" s="541"/>
    </row>
    <row r="206" spans="1:23" ht="15.4" customHeight="1" x14ac:dyDescent="0.25">
      <c r="A206" s="265">
        <v>4</v>
      </c>
      <c r="B206" s="74" t="str">
        <f t="shared" si="23"/>
        <v>Công trình nông nghiệp và phát triển nông thôn</v>
      </c>
      <c r="C206" s="465">
        <v>0.94299999999999995</v>
      </c>
      <c r="D206" s="465">
        <v>0.85799999999999998</v>
      </c>
      <c r="E206" s="465">
        <v>0.68500000000000005</v>
      </c>
      <c r="F206" s="465">
        <v>0.48</v>
      </c>
      <c r="G206" s="465">
        <v>0.36099999999999999</v>
      </c>
      <c r="H206" s="465">
        <v>0.27300000000000002</v>
      </c>
      <c r="I206" s="465">
        <v>0.23400000000000001</v>
      </c>
      <c r="J206" s="465">
        <v>0.20100000000000001</v>
      </c>
      <c r="K206" s="465">
        <v>0.161</v>
      </c>
      <c r="L206" s="465">
        <v>0.129</v>
      </c>
      <c r="M206" s="465">
        <v>0.1</v>
      </c>
      <c r="N206" s="465">
        <v>8.4000000000000005E-2</v>
      </c>
      <c r="O206" s="584">
        <f t="shared" si="24"/>
        <v>0.94299999999999995</v>
      </c>
      <c r="P206" s="211">
        <f>IF(P$202=0,0,IF(P$202=15,C206,HLOOKUP($P$202,$D$202:$N$207,5,TRUE)))</f>
        <v>0.94299999999999995</v>
      </c>
      <c r="Q206" s="619">
        <f>IF(Q$202=0,0,IF(Q$202=15,C206,HLOOKUP($Q$202,$D$202:$N$207,5,TRUE)))</f>
        <v>0.94299999999999995</v>
      </c>
      <c r="R206" s="541"/>
      <c r="S206" s="541"/>
      <c r="T206" s="541"/>
      <c r="U206" s="541"/>
      <c r="V206" s="541"/>
      <c r="W206" s="541"/>
    </row>
    <row r="207" spans="1:23" ht="15.4" customHeight="1" x14ac:dyDescent="0.25">
      <c r="A207" s="265">
        <v>5</v>
      </c>
      <c r="B207" s="74" t="str">
        <f t="shared" si="23"/>
        <v>Công trình hạ tầng kỹ thuật</v>
      </c>
      <c r="C207" s="465">
        <v>0.71899999999999997</v>
      </c>
      <c r="D207" s="465">
        <v>0.65400000000000003</v>
      </c>
      <c r="E207" s="465">
        <v>0.52400000000000002</v>
      </c>
      <c r="F207" s="465">
        <v>0.40699999999999997</v>
      </c>
      <c r="G207" s="465">
        <v>0.28000000000000003</v>
      </c>
      <c r="H207" s="465">
        <v>0.21099999999999999</v>
      </c>
      <c r="I207" s="465">
        <v>0.185</v>
      </c>
      <c r="J207" s="465">
        <v>0.158</v>
      </c>
      <c r="K207" s="465">
        <v>0.127</v>
      </c>
      <c r="L207" s="465">
        <v>0.10100000000000001</v>
      </c>
      <c r="M207" s="465">
        <v>7.8E-2</v>
      </c>
      <c r="N207" s="465">
        <v>6.5000000000000002E-2</v>
      </c>
      <c r="O207" s="584">
        <f t="shared" si="24"/>
        <v>0.71899999999999997</v>
      </c>
      <c r="P207" s="211">
        <f>IF(P$202=0,0,IF(P$202=15,C207,HLOOKUP($P$202,$D$202:$N$207,6,TRUE)))</f>
        <v>0.71899999999999997</v>
      </c>
      <c r="Q207" s="619">
        <f>IF(Q$202=0,0,IF(Q$202=15,C207,HLOOKUP($Q$202,$D$202:$N$207,6,TRUE)))</f>
        <v>0.71899999999999997</v>
      </c>
      <c r="R207" s="541"/>
      <c r="S207" s="541"/>
      <c r="T207" s="541"/>
      <c r="U207" s="541"/>
      <c r="V207" s="541"/>
      <c r="W207" s="541"/>
    </row>
    <row r="208" spans="1:23" ht="12.75" hidden="1" customHeight="1" x14ac:dyDescent="0.25">
      <c r="A208" s="48" t="s">
        <v>124</v>
      </c>
      <c r="B208" s="48"/>
      <c r="C208" s="48"/>
      <c r="D208" s="48"/>
      <c r="E208" s="48"/>
      <c r="F208" s="48"/>
      <c r="G208" s="48"/>
      <c r="H208" s="48"/>
      <c r="I208" s="48"/>
      <c r="J208" s="48"/>
      <c r="K208" s="48"/>
      <c r="L208" s="48"/>
      <c r="M208" s="48"/>
      <c r="N208" s="48"/>
      <c r="O208" s="48"/>
      <c r="P208" s="48"/>
      <c r="Q208" s="36"/>
      <c r="R208" s="48"/>
      <c r="S208" s="48"/>
      <c r="T208" s="48"/>
      <c r="U208" s="48"/>
      <c r="V208" s="48"/>
      <c r="W208" s="48"/>
    </row>
    <row r="209" spans="1:23" ht="15.4"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row>
    <row r="210" spans="1:23" ht="15.4" customHeight="1" x14ac:dyDescent="0.25">
      <c r="A210" s="1286" t="s">
        <v>205</v>
      </c>
      <c r="B210" s="1286"/>
      <c r="C210" s="1286"/>
      <c r="D210" s="1286"/>
      <c r="E210" s="1286"/>
      <c r="F210" s="1286"/>
      <c r="G210" s="1286"/>
      <c r="H210" s="48"/>
      <c r="I210" s="48"/>
      <c r="J210" s="48"/>
      <c r="K210" s="48"/>
      <c r="L210" s="48"/>
      <c r="M210" s="48"/>
      <c r="N210" s="48"/>
      <c r="O210" s="48"/>
      <c r="P210" s="48"/>
      <c r="Q210" s="48"/>
      <c r="R210" s="48"/>
      <c r="S210" s="48"/>
      <c r="T210" s="48"/>
      <c r="U210" s="48"/>
      <c r="V210" s="48"/>
      <c r="W210" s="48"/>
    </row>
    <row r="211" spans="1:23" ht="15.4" customHeight="1" x14ac:dyDescent="0.25">
      <c r="A211" s="48"/>
      <c r="B211" s="48"/>
      <c r="C211" s="1269" t="s">
        <v>681</v>
      </c>
      <c r="D211" s="1269"/>
      <c r="E211" s="1269"/>
      <c r="F211" s="1269"/>
      <c r="G211" s="48"/>
      <c r="H211" s="48"/>
      <c r="I211" s="48"/>
      <c r="J211" s="48"/>
      <c r="K211" s="48"/>
      <c r="L211" s="48"/>
      <c r="M211" s="48"/>
      <c r="N211" s="48"/>
      <c r="O211" s="48"/>
      <c r="P211" s="48"/>
      <c r="Q211" s="48"/>
      <c r="R211" s="48"/>
      <c r="S211" s="48"/>
      <c r="T211" s="48"/>
      <c r="U211" s="48"/>
      <c r="V211" s="48"/>
      <c r="W211" s="48"/>
    </row>
    <row r="212" spans="1:23" ht="12.75" hidden="1" customHeight="1" x14ac:dyDescent="0.25">
      <c r="A212" s="48" t="s">
        <v>464</v>
      </c>
      <c r="B212" s="48"/>
      <c r="C212" s="48"/>
      <c r="D212" s="48"/>
      <c r="E212" s="48"/>
      <c r="F212" s="48" t="s">
        <v>1080</v>
      </c>
      <c r="G212" s="48"/>
      <c r="H212" s="48"/>
      <c r="I212" s="48"/>
      <c r="J212" s="48"/>
      <c r="K212" s="48"/>
      <c r="L212" s="48"/>
      <c r="M212" s="48"/>
      <c r="N212" s="48"/>
      <c r="O212" s="48"/>
      <c r="P212" s="48"/>
      <c r="Q212" s="48"/>
      <c r="R212" s="48"/>
      <c r="S212" s="48"/>
      <c r="T212" s="48"/>
      <c r="U212" s="48"/>
      <c r="V212" s="48"/>
      <c r="W212" s="48"/>
    </row>
    <row r="213" spans="1:23" ht="45.75" customHeight="1" x14ac:dyDescent="0.25">
      <c r="A213" s="1279" t="s">
        <v>172</v>
      </c>
      <c r="B213" s="1279" t="s">
        <v>589</v>
      </c>
      <c r="C213" s="1291" t="s">
        <v>1370</v>
      </c>
      <c r="D213" s="1291"/>
      <c r="E213" s="1291"/>
      <c r="F213" s="1291"/>
      <c r="G213" s="539" t="s">
        <v>823</v>
      </c>
      <c r="H213" s="178" t="s">
        <v>628</v>
      </c>
      <c r="I213" s="195" t="s">
        <v>298</v>
      </c>
      <c r="J213" s="533"/>
      <c r="K213" s="533"/>
      <c r="L213" s="533"/>
      <c r="M213" s="533"/>
      <c r="N213" s="533"/>
      <c r="O213" s="48"/>
      <c r="P213" s="48"/>
      <c r="Q213" s="48"/>
      <c r="R213" s="48"/>
      <c r="S213" s="48"/>
      <c r="T213" s="48"/>
      <c r="U213" s="48"/>
      <c r="V213" s="48"/>
      <c r="W213" s="48"/>
    </row>
    <row r="214" spans="1:23" ht="15.4" customHeight="1" x14ac:dyDescent="0.25">
      <c r="A214" s="1279"/>
      <c r="B214" s="1279"/>
      <c r="C214" s="50" t="s">
        <v>985</v>
      </c>
      <c r="D214" s="50">
        <v>3</v>
      </c>
      <c r="E214" s="50">
        <v>7</v>
      </c>
      <c r="F214" s="50" t="s">
        <v>975</v>
      </c>
      <c r="G214" s="539">
        <f>$C$1+$C$2</f>
        <v>1.1435271830114</v>
      </c>
      <c r="H214" s="178">
        <f>IF(G214&lt;D214,1,IF(G214&gt;=15,0,HLOOKUP(G214,D214:E214,1)))</f>
        <v>1</v>
      </c>
      <c r="I214" s="195">
        <f>IF(G214&lt;1,1,IF(G214&lt;3,3,IF(G214&lt;7,7,IF(G214&gt;=15,0,IF(G214&gt;=7,15,0)))))</f>
        <v>3</v>
      </c>
      <c r="J214" s="48"/>
      <c r="K214" s="48"/>
      <c r="L214" s="48"/>
      <c r="M214" s="48"/>
      <c r="N214" s="48"/>
      <c r="O214" s="48"/>
      <c r="P214" s="48"/>
      <c r="Q214" s="48"/>
      <c r="R214" s="48"/>
      <c r="S214" s="48"/>
      <c r="T214" s="48"/>
      <c r="U214" s="48"/>
      <c r="V214" s="48"/>
      <c r="W214" s="48"/>
    </row>
    <row r="215" spans="1:23" ht="15.4" customHeight="1" x14ac:dyDescent="0.25">
      <c r="A215" s="265">
        <v>1</v>
      </c>
      <c r="B215" s="74" t="str">
        <f t="shared" ref="B215:B219" si="25">B48</f>
        <v>Công trình dân dụng</v>
      </c>
      <c r="C215" s="99">
        <v>6.5</v>
      </c>
      <c r="D215" s="99">
        <v>4.7</v>
      </c>
      <c r="E215" s="99">
        <v>4.2</v>
      </c>
      <c r="F215" s="328">
        <v>3.6</v>
      </c>
      <c r="G215" s="44">
        <f t="shared" ref="G215:G219" si="26">IF(I$214=H$214,H215,ROUND(H215-((H215-I215)/(I$214-H$214))*(G$214-H$214),3))</f>
        <v>6.3710000000000004</v>
      </c>
      <c r="H215" s="608">
        <f t="shared" ref="H215:H219" si="27">IF(H$214=1,C215,IF(H$214=3,D215,IF(H$214=7,E215,IF(H$214=15,F215,0))))</f>
        <v>6.5</v>
      </c>
      <c r="I215" s="77">
        <f t="shared" ref="I215:I219" si="28">IF(I$214=1,C215,IF(I$214=3,D215,IF(I$214=7,E215,IF(I$214=15,F215,0))))</f>
        <v>4.7</v>
      </c>
      <c r="J215" s="541"/>
      <c r="K215" s="541"/>
      <c r="L215" s="541"/>
      <c r="M215" s="541"/>
      <c r="N215" s="541"/>
      <c r="O215" s="541"/>
      <c r="P215" s="541"/>
      <c r="Q215" s="541"/>
      <c r="R215" s="541"/>
      <c r="S215" s="541"/>
      <c r="T215" s="541"/>
      <c r="U215" s="541"/>
      <c r="V215" s="541"/>
      <c r="W215" s="541"/>
    </row>
    <row r="216" spans="1:23" ht="15.4" customHeight="1" x14ac:dyDescent="0.25">
      <c r="A216" s="265">
        <v>2</v>
      </c>
      <c r="B216" s="74" t="str">
        <f t="shared" si="25"/>
        <v>Công trình công nghiệp</v>
      </c>
      <c r="C216" s="99">
        <v>6.7</v>
      </c>
      <c r="D216" s="99">
        <v>4.8</v>
      </c>
      <c r="E216" s="99">
        <v>4.3</v>
      </c>
      <c r="F216" s="328">
        <v>3.8</v>
      </c>
      <c r="G216" s="44">
        <f t="shared" si="26"/>
        <v>6.5640000000000001</v>
      </c>
      <c r="H216" s="608">
        <f t="shared" si="27"/>
        <v>6.7</v>
      </c>
      <c r="I216" s="77">
        <f t="shared" si="28"/>
        <v>4.8</v>
      </c>
      <c r="J216" s="541"/>
      <c r="K216" s="541"/>
      <c r="L216" s="541"/>
      <c r="M216" s="541"/>
      <c r="N216" s="541"/>
      <c r="O216" s="541"/>
      <c r="P216" s="541"/>
      <c r="Q216" s="541"/>
      <c r="R216" s="541"/>
      <c r="S216" s="541"/>
      <c r="T216" s="541"/>
      <c r="U216" s="541"/>
      <c r="V216" s="541"/>
      <c r="W216" s="541"/>
    </row>
    <row r="217" spans="1:23" ht="15.4" customHeight="1" x14ac:dyDescent="0.25">
      <c r="A217" s="265">
        <v>3</v>
      </c>
      <c r="B217" s="74" t="str">
        <f t="shared" si="25"/>
        <v>Công trình giao thông</v>
      </c>
      <c r="C217" s="99">
        <v>5.4</v>
      </c>
      <c r="D217" s="99">
        <v>3.6</v>
      </c>
      <c r="E217" s="99">
        <v>2.7</v>
      </c>
      <c r="F217" s="328">
        <v>2.5</v>
      </c>
      <c r="G217" s="44">
        <f t="shared" si="26"/>
        <v>5.2709999999999999</v>
      </c>
      <c r="H217" s="608">
        <f t="shared" si="27"/>
        <v>5.4</v>
      </c>
      <c r="I217" s="77">
        <f t="shared" si="28"/>
        <v>3.6</v>
      </c>
      <c r="J217" s="541"/>
      <c r="K217" s="541"/>
      <c r="L217" s="541"/>
      <c r="M217" s="541"/>
      <c r="N217" s="541"/>
      <c r="O217" s="541"/>
      <c r="P217" s="541"/>
      <c r="Q217" s="541"/>
      <c r="R217" s="541"/>
      <c r="S217" s="541"/>
      <c r="T217" s="541"/>
      <c r="U217" s="541"/>
      <c r="V217" s="541"/>
      <c r="W217" s="541"/>
    </row>
    <row r="218" spans="1:23" ht="15.4" customHeight="1" x14ac:dyDescent="0.25">
      <c r="A218" s="265">
        <v>4</v>
      </c>
      <c r="B218" s="74" t="str">
        <f t="shared" si="25"/>
        <v>Công trình nông nghiệp và phát triển nông thôn</v>
      </c>
      <c r="C218" s="99">
        <v>6.2</v>
      </c>
      <c r="D218" s="99">
        <v>4.4000000000000004</v>
      </c>
      <c r="E218" s="99">
        <v>3.9</v>
      </c>
      <c r="F218" s="328">
        <v>3.6</v>
      </c>
      <c r="G218" s="44">
        <f t="shared" si="26"/>
        <v>6.0709999999999997</v>
      </c>
      <c r="H218" s="608">
        <f t="shared" si="27"/>
        <v>6.2</v>
      </c>
      <c r="I218" s="77">
        <f t="shared" si="28"/>
        <v>4.4000000000000004</v>
      </c>
      <c r="J218" s="541"/>
      <c r="K218" s="541"/>
      <c r="L218" s="541"/>
      <c r="M218" s="541"/>
      <c r="N218" s="541"/>
      <c r="O218" s="541"/>
      <c r="P218" s="541"/>
      <c r="Q218" s="541"/>
      <c r="R218" s="541"/>
      <c r="S218" s="541"/>
      <c r="T218" s="541"/>
      <c r="U218" s="541"/>
      <c r="V218" s="541"/>
      <c r="W218" s="541"/>
    </row>
    <row r="219" spans="1:23" ht="15.4" customHeight="1" x14ac:dyDescent="0.25">
      <c r="A219" s="265">
        <v>5</v>
      </c>
      <c r="B219" s="74" t="str">
        <f t="shared" si="25"/>
        <v>Công trình hạ tầng kỹ thuật</v>
      </c>
      <c r="C219" s="99">
        <v>5.8</v>
      </c>
      <c r="D219" s="99">
        <v>4.2</v>
      </c>
      <c r="E219" s="99">
        <v>3.4</v>
      </c>
      <c r="F219" s="328">
        <v>3</v>
      </c>
      <c r="G219" s="44">
        <f t="shared" si="26"/>
        <v>5.6849999999999996</v>
      </c>
      <c r="H219" s="608">
        <f t="shared" si="27"/>
        <v>5.8</v>
      </c>
      <c r="I219" s="77">
        <f t="shared" si="28"/>
        <v>4.2</v>
      </c>
      <c r="J219" s="541"/>
      <c r="K219" s="541"/>
      <c r="L219" s="541"/>
      <c r="M219" s="541"/>
      <c r="N219" s="541"/>
      <c r="O219" s="541"/>
      <c r="P219" s="541"/>
      <c r="Q219" s="541"/>
      <c r="R219" s="541"/>
      <c r="S219" s="541"/>
      <c r="T219" s="541"/>
      <c r="U219" s="541"/>
      <c r="V219" s="541"/>
      <c r="W219" s="541"/>
    </row>
    <row r="220" spans="1:23" ht="12.75" hidden="1" customHeight="1" x14ac:dyDescent="0.25">
      <c r="A220" s="48" t="s">
        <v>484</v>
      </c>
      <c r="B220" s="48"/>
      <c r="C220" s="48"/>
      <c r="D220" s="48"/>
      <c r="E220" s="48"/>
      <c r="F220" s="48"/>
      <c r="G220" s="48"/>
      <c r="H220" s="48"/>
      <c r="I220" s="48"/>
      <c r="J220" s="48"/>
      <c r="K220" s="48"/>
      <c r="L220" s="48"/>
      <c r="M220" s="48"/>
      <c r="N220" s="48"/>
      <c r="O220" s="48"/>
      <c r="P220" s="48"/>
      <c r="Q220" s="48"/>
      <c r="R220" s="48"/>
      <c r="S220" s="48"/>
      <c r="T220" s="48"/>
      <c r="U220" s="48"/>
      <c r="V220" s="48"/>
      <c r="W220" s="48"/>
    </row>
    <row r="221" spans="1:23" ht="15.4"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row>
    <row r="222" spans="1:23" ht="15.4" customHeight="1" x14ac:dyDescent="0.25">
      <c r="A222" s="1272" t="s">
        <v>1325</v>
      </c>
      <c r="B222" s="1272"/>
      <c r="C222" s="1272"/>
      <c r="D222" s="1272"/>
      <c r="E222" s="1272"/>
      <c r="F222" s="1272"/>
      <c r="G222" s="1272"/>
      <c r="H222" s="48"/>
      <c r="I222" s="48"/>
      <c r="J222" s="48"/>
      <c r="K222" s="48"/>
      <c r="L222" s="48"/>
      <c r="M222" s="48"/>
      <c r="N222" s="48"/>
      <c r="O222" s="48"/>
      <c r="P222" s="48"/>
      <c r="Q222" s="48"/>
      <c r="R222" s="48"/>
      <c r="S222" s="48"/>
      <c r="T222" s="48"/>
      <c r="U222" s="48"/>
      <c r="V222" s="48"/>
      <c r="W222" s="48"/>
    </row>
    <row r="223" spans="1:23" ht="15.4" customHeight="1" x14ac:dyDescent="0.25">
      <c r="A223" s="48"/>
      <c r="B223" s="48"/>
      <c r="C223" s="48"/>
      <c r="D223" s="48"/>
      <c r="E223" s="48"/>
      <c r="F223" s="48"/>
      <c r="G223" s="48"/>
      <c r="H223" s="48"/>
      <c r="I223" s="48"/>
      <c r="J223" s="1133" t="s">
        <v>681</v>
      </c>
      <c r="K223" s="1133"/>
      <c r="L223" s="1133"/>
      <c r="M223" s="1133"/>
      <c r="N223" s="817"/>
      <c r="O223" s="48"/>
      <c r="P223" s="48"/>
      <c r="Q223" s="48"/>
      <c r="R223" s="48"/>
      <c r="S223" s="48"/>
      <c r="T223" s="48"/>
      <c r="U223" s="48"/>
      <c r="V223" s="48"/>
      <c r="W223" s="48"/>
    </row>
    <row r="224" spans="1:23" ht="12.75" hidden="1" customHeight="1" x14ac:dyDescent="0.25">
      <c r="A224" s="48" t="s">
        <v>782</v>
      </c>
      <c r="B224" s="48"/>
      <c r="C224" s="48"/>
      <c r="D224" s="48"/>
      <c r="E224" s="48"/>
      <c r="F224" s="48"/>
      <c r="G224" s="48"/>
      <c r="H224" s="48"/>
      <c r="I224" s="48"/>
      <c r="J224" s="48"/>
      <c r="K224" s="48"/>
      <c r="L224" s="48"/>
      <c r="M224" s="48" t="s">
        <v>1080</v>
      </c>
      <c r="N224" s="48"/>
      <c r="O224" s="48"/>
      <c r="P224" s="48"/>
      <c r="Q224" s="48"/>
      <c r="R224" s="48"/>
      <c r="S224" s="48"/>
      <c r="T224" s="48"/>
      <c r="U224" s="48"/>
      <c r="V224" s="48"/>
      <c r="W224" s="48"/>
    </row>
    <row r="225" spans="1:23" ht="29.25" customHeight="1" x14ac:dyDescent="0.25">
      <c r="A225" s="1279" t="s">
        <v>172</v>
      </c>
      <c r="B225" s="1291" t="s">
        <v>783</v>
      </c>
      <c r="C225" s="1279" t="s">
        <v>528</v>
      </c>
      <c r="D225" s="1279"/>
      <c r="E225" s="1279"/>
      <c r="F225" s="1279"/>
      <c r="G225" s="1279"/>
      <c r="H225" s="1279"/>
      <c r="I225" s="1279"/>
      <c r="J225" s="1279"/>
      <c r="K225" s="1279"/>
      <c r="L225" s="1279"/>
      <c r="M225" s="1279"/>
      <c r="N225" s="539" t="s">
        <v>823</v>
      </c>
      <c r="O225" s="178" t="s">
        <v>628</v>
      </c>
      <c r="P225" s="195" t="s">
        <v>298</v>
      </c>
      <c r="Q225" s="48"/>
      <c r="R225" s="48"/>
      <c r="S225" s="48"/>
      <c r="T225" s="48"/>
      <c r="U225" s="48"/>
      <c r="V225" s="48"/>
      <c r="W225" s="48"/>
    </row>
    <row r="226" spans="1:23" ht="15.4" customHeight="1" x14ac:dyDescent="0.25">
      <c r="A226" s="1279"/>
      <c r="B226" s="1291"/>
      <c r="C226" s="142" t="s">
        <v>1412</v>
      </c>
      <c r="D226" s="142">
        <v>20</v>
      </c>
      <c r="E226" s="142">
        <v>50</v>
      </c>
      <c r="F226" s="142">
        <v>100</v>
      </c>
      <c r="G226" s="50">
        <v>200</v>
      </c>
      <c r="H226" s="50">
        <v>500</v>
      </c>
      <c r="I226" s="142">
        <v>1000</v>
      </c>
      <c r="J226" s="142">
        <v>2000</v>
      </c>
      <c r="K226" s="142">
        <v>5000</v>
      </c>
      <c r="L226" s="142">
        <v>8000</v>
      </c>
      <c r="M226" s="142">
        <v>10000</v>
      </c>
      <c r="N226" s="539">
        <f>$C$1</f>
        <v>1.1435271830114</v>
      </c>
      <c r="O226" s="178">
        <f>IF(N226&lt;D226,10,IF(N226&gt;M226,M226,HLOOKUP(N226,D226:M226,1)))</f>
        <v>10</v>
      </c>
      <c r="P226" s="195">
        <f>IF(N226&lt;10,10,IF(N226&lt;20,20,IF(N226&gt;M226,M226,INDEX(D226:M226,MATCH(N226,D226:M226,1)+1))))</f>
        <v>10</v>
      </c>
      <c r="Q226" s="48"/>
      <c r="R226" s="48"/>
      <c r="S226" s="48"/>
      <c r="T226" s="48"/>
      <c r="U226" s="48"/>
      <c r="V226" s="48"/>
      <c r="W226" s="48"/>
    </row>
    <row r="227" spans="1:23" ht="15.4" customHeight="1" x14ac:dyDescent="0.25">
      <c r="A227" s="612">
        <v>1</v>
      </c>
      <c r="B227" s="303" t="str">
        <f>B48</f>
        <v>Công trình dân dụng</v>
      </c>
      <c r="C227" s="819"/>
      <c r="D227" s="819"/>
      <c r="E227" s="819"/>
      <c r="F227" s="819"/>
      <c r="G227" s="819"/>
      <c r="H227" s="819"/>
      <c r="I227" s="819"/>
      <c r="J227" s="819"/>
      <c r="K227" s="819"/>
      <c r="L227" s="819"/>
      <c r="M227" s="563"/>
      <c r="N227" s="426"/>
      <c r="O227" s="426"/>
      <c r="P227" s="426"/>
      <c r="Q227" s="48"/>
      <c r="R227" s="48"/>
      <c r="S227" s="48"/>
      <c r="T227" s="48"/>
      <c r="U227" s="48"/>
      <c r="V227" s="48"/>
      <c r="W227" s="48"/>
    </row>
    <row r="228" spans="1:23" ht="15.4" customHeight="1" x14ac:dyDescent="0.25">
      <c r="A228" s="265" t="s">
        <v>962</v>
      </c>
      <c r="B228" s="1287" t="s">
        <v>249</v>
      </c>
      <c r="C228" s="1288"/>
      <c r="D228" s="1288"/>
      <c r="E228" s="1288"/>
      <c r="F228" s="1288"/>
      <c r="G228" s="1288"/>
      <c r="H228" s="1288"/>
      <c r="I228" s="1288"/>
      <c r="J228" s="1288"/>
      <c r="K228" s="1288"/>
      <c r="L228" s="1288"/>
      <c r="M228" s="1289"/>
      <c r="N228" s="465"/>
      <c r="O228" s="74"/>
      <c r="P228" s="74"/>
      <c r="Q228" s="541"/>
      <c r="R228" s="541"/>
      <c r="S228" s="541"/>
      <c r="T228" s="541"/>
      <c r="U228" s="541"/>
      <c r="V228" s="541"/>
      <c r="W228" s="541" t="s">
        <v>475</v>
      </c>
    </row>
    <row r="229" spans="1:23" ht="15.4" customHeight="1" x14ac:dyDescent="0.25">
      <c r="A229" s="265" t="s">
        <v>92</v>
      </c>
      <c r="B229" s="74" t="s">
        <v>37</v>
      </c>
      <c r="C229" s="99">
        <v>3.22</v>
      </c>
      <c r="D229" s="99">
        <v>2.81</v>
      </c>
      <c r="E229" s="99">
        <v>2.36</v>
      </c>
      <c r="F229" s="99">
        <v>2.15</v>
      </c>
      <c r="G229" s="99">
        <v>1.96</v>
      </c>
      <c r="H229" s="99">
        <v>1.65</v>
      </c>
      <c r="I229" s="99">
        <v>1.36</v>
      </c>
      <c r="J229" s="99">
        <v>1.1599999999999999</v>
      </c>
      <c r="K229" s="99">
        <v>0.89</v>
      </c>
      <c r="L229" s="99">
        <v>0.68</v>
      </c>
      <c r="M229" s="99">
        <v>0.61</v>
      </c>
      <c r="N229" s="584">
        <f t="shared" ref="N229:N233" si="29">IF(P$226=O$226,O229,IF(O229="-",O229,ROUND(O229-((O229-P229)/(P$226-O$226))*(N$226-O$226),3)))</f>
        <v>3.22</v>
      </c>
      <c r="O229" s="608">
        <f>IF(O$226=10,C229,HLOOKUP($O$226,$D$226:$M$291,4,TRUE))</f>
        <v>3.22</v>
      </c>
      <c r="P229" s="77">
        <f>IF(P$226=10,C229,HLOOKUP($P$226,$D$226:$M$291,4,TRUE))</f>
        <v>3.22</v>
      </c>
      <c r="Q229" s="541"/>
      <c r="R229" s="541" t="str">
        <f t="shared" ref="R229:R233" si="30">$B$227</f>
        <v>Công trình dân dụng</v>
      </c>
      <c r="S229" s="541" t="str">
        <f t="shared" ref="S229:S233" si="31">$W$230</f>
        <v>Thiết kế 3 bước</v>
      </c>
      <c r="T229" s="541" t="str">
        <f t="shared" ref="T229:T233" si="32">R229&amp;S229&amp;B229</f>
        <v>Công trình dân dụngThiết kế 3 bướcCấp đặc biệt</v>
      </c>
      <c r="U229" s="814">
        <f t="shared" ref="U229:U233" si="33">N229</f>
        <v>3.22</v>
      </c>
      <c r="V229" s="541"/>
      <c r="W229" s="541" t="s">
        <v>704</v>
      </c>
    </row>
    <row r="230" spans="1:23" ht="15.4" customHeight="1" x14ac:dyDescent="0.25">
      <c r="A230" s="265" t="s">
        <v>69</v>
      </c>
      <c r="B230" s="74" t="s">
        <v>280</v>
      </c>
      <c r="C230" s="99">
        <v>2.93</v>
      </c>
      <c r="D230" s="99">
        <v>2.5499999999999998</v>
      </c>
      <c r="E230" s="99">
        <v>2.14</v>
      </c>
      <c r="F230" s="99">
        <v>1.94</v>
      </c>
      <c r="G230" s="99">
        <v>1.78</v>
      </c>
      <c r="H230" s="99">
        <v>1.5</v>
      </c>
      <c r="I230" s="99">
        <v>1.22</v>
      </c>
      <c r="J230" s="99">
        <v>1.05</v>
      </c>
      <c r="K230" s="99">
        <v>0.8</v>
      </c>
      <c r="L230" s="99">
        <v>0.61</v>
      </c>
      <c r="M230" s="99">
        <v>0.55000000000000004</v>
      </c>
      <c r="N230" s="584">
        <f t="shared" si="29"/>
        <v>2.93</v>
      </c>
      <c r="O230" s="608">
        <f>IF(O$226=10,C230,HLOOKUP($O$226,$D$226:$M$291,5,TRUE))</f>
        <v>2.93</v>
      </c>
      <c r="P230" s="77">
        <f>IF(P$226=10,C230,HLOOKUP($P$226,$D$226:$M$291,5,TRUE))</f>
        <v>2.93</v>
      </c>
      <c r="Q230" s="541"/>
      <c r="R230" s="541" t="str">
        <f t="shared" si="30"/>
        <v>Công trình dân dụng</v>
      </c>
      <c r="S230" s="541" t="str">
        <f t="shared" si="31"/>
        <v>Thiết kế 3 bước</v>
      </c>
      <c r="T230" s="541" t="str">
        <f t="shared" si="32"/>
        <v>Công trình dân dụngThiết kế 3 bướcCấp I</v>
      </c>
      <c r="U230" s="814">
        <f t="shared" si="33"/>
        <v>2.93</v>
      </c>
      <c r="V230" s="541"/>
      <c r="W230" s="541" t="s">
        <v>930</v>
      </c>
    </row>
    <row r="231" spans="1:23" ht="15.4" customHeight="1" x14ac:dyDescent="0.25">
      <c r="A231" s="265" t="s">
        <v>434</v>
      </c>
      <c r="B231" s="74" t="s">
        <v>1181</v>
      </c>
      <c r="C231" s="99">
        <v>2.67</v>
      </c>
      <c r="D231" s="99">
        <v>2.33</v>
      </c>
      <c r="E231" s="99">
        <v>1.96</v>
      </c>
      <c r="F231" s="99">
        <v>1.77</v>
      </c>
      <c r="G231" s="99">
        <v>1.62</v>
      </c>
      <c r="H231" s="99">
        <v>1.37</v>
      </c>
      <c r="I231" s="99">
        <v>1.1100000000000001</v>
      </c>
      <c r="J231" s="99">
        <v>0.94</v>
      </c>
      <c r="K231" s="99">
        <v>0.73</v>
      </c>
      <c r="L231" s="99">
        <v>0.55000000000000004</v>
      </c>
      <c r="M231" s="99">
        <v>0.5</v>
      </c>
      <c r="N231" s="584">
        <f t="shared" si="29"/>
        <v>2.67</v>
      </c>
      <c r="O231" s="608">
        <f>IF(O$226=10,C231,HLOOKUP($O$226,$D$226:$M$291,6,TRUE))</f>
        <v>2.67</v>
      </c>
      <c r="P231" s="77">
        <f>IF(P$226=10,C231,HLOOKUP($P$226,$D$226:$M$291,6,TRUE))</f>
        <v>2.67</v>
      </c>
      <c r="Q231" s="541"/>
      <c r="R231" s="541" t="str">
        <f t="shared" si="30"/>
        <v>Công trình dân dụng</v>
      </c>
      <c r="S231" s="541" t="str">
        <f t="shared" si="31"/>
        <v>Thiết kế 3 bước</v>
      </c>
      <c r="T231" s="541" t="str">
        <f t="shared" si="32"/>
        <v>Công trình dân dụngThiết kế 3 bướcCấp II</v>
      </c>
      <c r="U231" s="814">
        <f t="shared" si="33"/>
        <v>2.67</v>
      </c>
      <c r="V231" s="541"/>
      <c r="W231" s="541"/>
    </row>
    <row r="232" spans="1:23" ht="15.4" customHeight="1" x14ac:dyDescent="0.25">
      <c r="A232" s="265" t="s">
        <v>844</v>
      </c>
      <c r="B232" s="74" t="s">
        <v>731</v>
      </c>
      <c r="C232" s="99">
        <v>2.36</v>
      </c>
      <c r="D232" s="99">
        <v>2.0699999999999998</v>
      </c>
      <c r="E232" s="99">
        <v>1.74</v>
      </c>
      <c r="F232" s="99">
        <v>1.57</v>
      </c>
      <c r="G232" s="99">
        <v>1.43</v>
      </c>
      <c r="H232" s="99">
        <v>1.21</v>
      </c>
      <c r="I232" s="99">
        <v>0.98</v>
      </c>
      <c r="J232" s="99">
        <v>0.83</v>
      </c>
      <c r="K232" s="99">
        <v>0.64</v>
      </c>
      <c r="L232" s="99">
        <v>0.48</v>
      </c>
      <c r="M232" s="99">
        <v>0.44</v>
      </c>
      <c r="N232" s="584">
        <f t="shared" si="29"/>
        <v>2.36</v>
      </c>
      <c r="O232" s="608">
        <f>IF(O$226=10,C232,HLOOKUP($O$226,$D$226:$M$291,7,TRUE))</f>
        <v>2.36</v>
      </c>
      <c r="P232" s="77">
        <f>IF(P$226=10,C232,HLOOKUP($P$226,$D$226:$M$291,7,TRUE))</f>
        <v>2.36</v>
      </c>
      <c r="Q232" s="541"/>
      <c r="R232" s="541" t="str">
        <f t="shared" si="30"/>
        <v>Công trình dân dụng</v>
      </c>
      <c r="S232" s="541" t="str">
        <f t="shared" si="31"/>
        <v>Thiết kế 3 bước</v>
      </c>
      <c r="T232" s="541" t="str">
        <f t="shared" si="32"/>
        <v>Công trình dân dụngThiết kế 3 bướcCấp III</v>
      </c>
      <c r="U232" s="814">
        <f t="shared" si="33"/>
        <v>2.36</v>
      </c>
      <c r="V232" s="541"/>
      <c r="W232" s="541"/>
    </row>
    <row r="233" spans="1:23" ht="15.4" customHeight="1" x14ac:dyDescent="0.25">
      <c r="A233" s="265" t="s">
        <v>1240</v>
      </c>
      <c r="B233" s="74" t="s">
        <v>487</v>
      </c>
      <c r="C233" s="99">
        <v>2.0699999999999998</v>
      </c>
      <c r="D233" s="99">
        <v>1.81</v>
      </c>
      <c r="E233" s="99">
        <v>1.48</v>
      </c>
      <c r="F233" s="99">
        <v>1.3</v>
      </c>
      <c r="G233" s="99">
        <v>1.06</v>
      </c>
      <c r="H233" s="99">
        <v>0.89</v>
      </c>
      <c r="I233" s="99" t="s">
        <v>352</v>
      </c>
      <c r="J233" s="99" t="s">
        <v>352</v>
      </c>
      <c r="K233" s="99" t="s">
        <v>352</v>
      </c>
      <c r="L233" s="99" t="s">
        <v>352</v>
      </c>
      <c r="M233" s="99" t="s">
        <v>352</v>
      </c>
      <c r="N233" s="584">
        <f t="shared" si="29"/>
        <v>2.0699999999999998</v>
      </c>
      <c r="O233" s="608">
        <f>IF(O$226=10,C233,HLOOKUP($O$226,$D$226:$M$291,8,TRUE))</f>
        <v>2.0699999999999998</v>
      </c>
      <c r="P233" s="77">
        <f>IF(P$226=10,C233,HLOOKUP($P$226,$D$226:$M$291,8,TRUE))</f>
        <v>2.0699999999999998</v>
      </c>
      <c r="Q233" s="541"/>
      <c r="R233" s="541" t="str">
        <f t="shared" si="30"/>
        <v>Công trình dân dụng</v>
      </c>
      <c r="S233" s="541" t="str">
        <f t="shared" si="31"/>
        <v>Thiết kế 3 bước</v>
      </c>
      <c r="T233" s="541" t="str">
        <f t="shared" si="32"/>
        <v>Công trình dân dụngThiết kế 3 bướcCấp IV</v>
      </c>
      <c r="U233" s="814">
        <f t="shared" si="33"/>
        <v>2.0699999999999998</v>
      </c>
      <c r="V233" s="541"/>
      <c r="W233" s="541"/>
    </row>
    <row r="234" spans="1:23" ht="15.4" customHeight="1" x14ac:dyDescent="0.25">
      <c r="A234" s="265" t="s">
        <v>549</v>
      </c>
      <c r="B234" s="1287" t="s">
        <v>457</v>
      </c>
      <c r="C234" s="1288"/>
      <c r="D234" s="1288"/>
      <c r="E234" s="1288"/>
      <c r="F234" s="1288"/>
      <c r="G234" s="1288"/>
      <c r="H234" s="1288"/>
      <c r="I234" s="1288"/>
      <c r="J234" s="1288"/>
      <c r="K234" s="1288"/>
      <c r="L234" s="1288"/>
      <c r="M234" s="1289"/>
      <c r="N234" s="465"/>
      <c r="O234" s="99"/>
      <c r="P234" s="99"/>
      <c r="Q234" s="541"/>
      <c r="R234" s="541"/>
      <c r="S234" s="541"/>
      <c r="T234" s="541"/>
      <c r="U234" s="814"/>
      <c r="V234" s="541"/>
      <c r="W234" s="541"/>
    </row>
    <row r="235" spans="1:23" ht="15.4" customHeight="1" x14ac:dyDescent="0.25">
      <c r="A235" s="265" t="s">
        <v>1360</v>
      </c>
      <c r="B235" s="74" t="s">
        <v>37</v>
      </c>
      <c r="C235" s="99">
        <v>4.66</v>
      </c>
      <c r="D235" s="99">
        <v>4.05</v>
      </c>
      <c r="E235" s="99">
        <v>3.41</v>
      </c>
      <c r="F235" s="99">
        <v>3.1</v>
      </c>
      <c r="G235" s="99">
        <v>2.83</v>
      </c>
      <c r="H235" s="99">
        <v>2.39</v>
      </c>
      <c r="I235" s="99">
        <v>1.93</v>
      </c>
      <c r="J235" s="99">
        <v>1.65</v>
      </c>
      <c r="K235" s="99">
        <v>1.28</v>
      </c>
      <c r="L235" s="99">
        <v>0.99</v>
      </c>
      <c r="M235" s="99">
        <v>0.91</v>
      </c>
      <c r="N235" s="584">
        <f t="shared" ref="N235:N239" si="34">IF(P$226=O$226,O235,IF(O235="-",O235,ROUND(O235-((O235-P235)/(P$226-O$226))*(N$226-O$226),3)))</f>
        <v>4.66</v>
      </c>
      <c r="O235" s="608">
        <f>IF(O$226=10,C235,HLOOKUP($O$226,$D$226:$M$291,10,TRUE))</f>
        <v>4.66</v>
      </c>
      <c r="P235" s="77">
        <f>IF(P$226=10,C235,HLOOKUP($P$226,$D$226:$M$291,10,TRUE))</f>
        <v>4.66</v>
      </c>
      <c r="Q235" s="541"/>
      <c r="R235" s="541" t="str">
        <f t="shared" ref="R235:R239" si="35">$B$227</f>
        <v>Công trình dân dụng</v>
      </c>
      <c r="S235" s="541" t="str">
        <f t="shared" ref="S235:S239" si="36">$W$229</f>
        <v>Thiết kế 2 bước</v>
      </c>
      <c r="T235" s="541" t="str">
        <f t="shared" ref="T235:T239" si="37">R235&amp;S235&amp;B235</f>
        <v>Công trình dân dụngThiết kế 2 bướcCấp đặc biệt</v>
      </c>
      <c r="U235" s="814">
        <f t="shared" ref="U235:U239" si="38">N235</f>
        <v>4.66</v>
      </c>
      <c r="V235" s="541"/>
      <c r="W235" s="541"/>
    </row>
    <row r="236" spans="1:23" ht="15.4" customHeight="1" x14ac:dyDescent="0.25">
      <c r="A236" s="265" t="s">
        <v>261</v>
      </c>
      <c r="B236" s="74" t="s">
        <v>280</v>
      </c>
      <c r="C236" s="99">
        <v>4.22</v>
      </c>
      <c r="D236" s="99">
        <v>3.66</v>
      </c>
      <c r="E236" s="99">
        <v>3.1</v>
      </c>
      <c r="F236" s="99">
        <v>2.82</v>
      </c>
      <c r="G236" s="99">
        <v>2.57</v>
      </c>
      <c r="H236" s="99">
        <v>2.17</v>
      </c>
      <c r="I236" s="99">
        <v>1.76</v>
      </c>
      <c r="J236" s="99">
        <v>1.51</v>
      </c>
      <c r="K236" s="99">
        <v>1.1599999999999999</v>
      </c>
      <c r="L236" s="99">
        <v>0.9</v>
      </c>
      <c r="M236" s="99">
        <v>0.8</v>
      </c>
      <c r="N236" s="584">
        <f t="shared" si="34"/>
        <v>4.22</v>
      </c>
      <c r="O236" s="608">
        <f>IF(O$226=10,C236,HLOOKUP($O$226,$D$226:$M$291,11,TRUE))</f>
        <v>4.22</v>
      </c>
      <c r="P236" s="77">
        <f>IF(P$226=10,C236,HLOOKUP($P$226,$D$226:$M$291,11,TRUE))</f>
        <v>4.22</v>
      </c>
      <c r="Q236" s="541"/>
      <c r="R236" s="541" t="str">
        <f t="shared" si="35"/>
        <v>Công trình dân dụng</v>
      </c>
      <c r="S236" s="541" t="str">
        <f t="shared" si="36"/>
        <v>Thiết kế 2 bước</v>
      </c>
      <c r="T236" s="541" t="str">
        <f t="shared" si="37"/>
        <v>Công trình dân dụngThiết kế 2 bướcCấp I</v>
      </c>
      <c r="U236" s="814">
        <f t="shared" si="38"/>
        <v>4.22</v>
      </c>
      <c r="V236" s="541"/>
      <c r="W236" s="541"/>
    </row>
    <row r="237" spans="1:23" ht="15.4" customHeight="1" x14ac:dyDescent="0.25">
      <c r="A237" s="265" t="s">
        <v>635</v>
      </c>
      <c r="B237" s="74" t="s">
        <v>1181</v>
      </c>
      <c r="C237" s="99">
        <v>3.85</v>
      </c>
      <c r="D237" s="99">
        <v>3.33</v>
      </c>
      <c r="E237" s="99">
        <v>2.8</v>
      </c>
      <c r="F237" s="99">
        <v>2.54</v>
      </c>
      <c r="G237" s="99">
        <v>2.34</v>
      </c>
      <c r="H237" s="99">
        <v>1.98</v>
      </c>
      <c r="I237" s="99">
        <v>1.61</v>
      </c>
      <c r="J237" s="99">
        <v>1.36</v>
      </c>
      <c r="K237" s="99">
        <v>1.06</v>
      </c>
      <c r="L237" s="99">
        <v>0.82</v>
      </c>
      <c r="M237" s="99">
        <v>0.72</v>
      </c>
      <c r="N237" s="584">
        <f t="shared" si="34"/>
        <v>3.85</v>
      </c>
      <c r="O237" s="608">
        <f>IF(O$226=10,C237,HLOOKUP($O$226,$D$226:$M$291,12,TRUE))</f>
        <v>3.85</v>
      </c>
      <c r="P237" s="77">
        <f>IF(P$226=10,C237,HLOOKUP($P$226,$D$226:$M$291,12,TRUE))</f>
        <v>3.85</v>
      </c>
      <c r="Q237" s="541"/>
      <c r="R237" s="541" t="str">
        <f t="shared" si="35"/>
        <v>Công trình dân dụng</v>
      </c>
      <c r="S237" s="541" t="str">
        <f t="shared" si="36"/>
        <v>Thiết kế 2 bước</v>
      </c>
      <c r="T237" s="541" t="str">
        <f t="shared" si="37"/>
        <v>Công trình dân dụngThiết kế 2 bướcCấp II</v>
      </c>
      <c r="U237" s="814">
        <f t="shared" si="38"/>
        <v>3.85</v>
      </c>
      <c r="V237" s="541"/>
      <c r="W237" s="541"/>
    </row>
    <row r="238" spans="1:23" ht="15.4" customHeight="1" x14ac:dyDescent="0.25">
      <c r="A238" s="265" t="s">
        <v>600</v>
      </c>
      <c r="B238" s="74" t="s">
        <v>731</v>
      </c>
      <c r="C238" s="99">
        <v>3.41</v>
      </c>
      <c r="D238" s="99">
        <v>2.95</v>
      </c>
      <c r="E238" s="99">
        <v>2.48</v>
      </c>
      <c r="F238" s="99">
        <v>2.25</v>
      </c>
      <c r="G238" s="99">
        <v>2.0699999999999998</v>
      </c>
      <c r="H238" s="99">
        <v>1.75</v>
      </c>
      <c r="I238" s="99">
        <v>1.43</v>
      </c>
      <c r="J238" s="99">
        <v>1.2</v>
      </c>
      <c r="K238" s="99">
        <v>0.94</v>
      </c>
      <c r="L238" s="99">
        <v>0.72</v>
      </c>
      <c r="M238" s="99">
        <v>0.63</v>
      </c>
      <c r="N238" s="584">
        <f t="shared" si="34"/>
        <v>3.41</v>
      </c>
      <c r="O238" s="608">
        <f>IF(O$226=10,C238,HLOOKUP($O$226,$D$226:$M$291,13,TRUE))</f>
        <v>3.41</v>
      </c>
      <c r="P238" s="77">
        <f>IF(P$226=10,C238,HLOOKUP($P$226,$D$226:$M$291,13,TRUE))</f>
        <v>3.41</v>
      </c>
      <c r="Q238" s="541"/>
      <c r="R238" s="541" t="str">
        <f t="shared" si="35"/>
        <v>Công trình dân dụng</v>
      </c>
      <c r="S238" s="541" t="str">
        <f t="shared" si="36"/>
        <v>Thiết kế 2 bước</v>
      </c>
      <c r="T238" s="541" t="str">
        <f t="shared" si="37"/>
        <v>Công trình dân dụngThiết kế 2 bướcCấp III</v>
      </c>
      <c r="U238" s="814">
        <f t="shared" si="38"/>
        <v>3.41</v>
      </c>
      <c r="V238" s="541"/>
      <c r="W238" s="541"/>
    </row>
    <row r="239" spans="1:23" ht="15.4" customHeight="1" x14ac:dyDescent="0.25">
      <c r="A239" s="265" t="s">
        <v>1035</v>
      </c>
      <c r="B239" s="74" t="s">
        <v>487</v>
      </c>
      <c r="C239" s="99">
        <v>2.92</v>
      </c>
      <c r="D239" s="99">
        <v>2.5499999999999998</v>
      </c>
      <c r="E239" s="99">
        <v>2.12</v>
      </c>
      <c r="F239" s="99">
        <v>1.86</v>
      </c>
      <c r="G239" s="99">
        <v>1.51</v>
      </c>
      <c r="H239" s="99">
        <v>1.3</v>
      </c>
      <c r="I239" s="99" t="s">
        <v>352</v>
      </c>
      <c r="J239" s="99" t="s">
        <v>352</v>
      </c>
      <c r="K239" s="99" t="s">
        <v>352</v>
      </c>
      <c r="L239" s="99" t="s">
        <v>352</v>
      </c>
      <c r="M239" s="99" t="s">
        <v>352</v>
      </c>
      <c r="N239" s="584">
        <f t="shared" si="34"/>
        <v>2.92</v>
      </c>
      <c r="O239" s="608">
        <f>IF(O$226=10,C239,HLOOKUP($O$226,$D$226:$M$291,14,TRUE))</f>
        <v>2.92</v>
      </c>
      <c r="P239" s="77">
        <f>IF(P$226=10,C239,HLOOKUP($P$226,$D$226:$M$291,14,TRUE))</f>
        <v>2.92</v>
      </c>
      <c r="Q239" s="541"/>
      <c r="R239" s="541" t="str">
        <f t="shared" si="35"/>
        <v>Công trình dân dụng</v>
      </c>
      <c r="S239" s="541" t="str">
        <f t="shared" si="36"/>
        <v>Thiết kế 2 bước</v>
      </c>
      <c r="T239" s="541" t="str">
        <f t="shared" si="37"/>
        <v>Công trình dân dụngThiết kế 2 bướcCấp IV</v>
      </c>
      <c r="U239" s="814">
        <f t="shared" si="38"/>
        <v>2.92</v>
      </c>
      <c r="V239" s="541"/>
      <c r="W239" s="541"/>
    </row>
    <row r="240" spans="1:23" ht="15.4" customHeight="1" x14ac:dyDescent="0.25">
      <c r="A240" s="612">
        <v>2</v>
      </c>
      <c r="B240" s="303" t="str">
        <f>B49</f>
        <v>Công trình công nghiệp</v>
      </c>
      <c r="C240" s="871"/>
      <c r="D240" s="871"/>
      <c r="E240" s="871"/>
      <c r="F240" s="871"/>
      <c r="G240" s="871"/>
      <c r="H240" s="871"/>
      <c r="I240" s="871"/>
      <c r="J240" s="871"/>
      <c r="K240" s="871"/>
      <c r="L240" s="871"/>
      <c r="M240" s="238"/>
      <c r="N240" s="56"/>
      <c r="O240" s="445"/>
      <c r="P240" s="445"/>
      <c r="Q240" s="48"/>
      <c r="R240" s="48"/>
      <c r="S240" s="48"/>
      <c r="T240" s="48"/>
      <c r="U240" s="651"/>
      <c r="V240" s="48"/>
      <c r="W240" s="48"/>
    </row>
    <row r="241" spans="1:23" ht="15.4" customHeight="1" x14ac:dyDescent="0.25">
      <c r="A241" s="265" t="s">
        <v>748</v>
      </c>
      <c r="B241" s="1287" t="s">
        <v>249</v>
      </c>
      <c r="C241" s="1288"/>
      <c r="D241" s="1288"/>
      <c r="E241" s="1288"/>
      <c r="F241" s="1288"/>
      <c r="G241" s="1288"/>
      <c r="H241" s="1288"/>
      <c r="I241" s="1288"/>
      <c r="J241" s="1288"/>
      <c r="K241" s="1288"/>
      <c r="L241" s="1288"/>
      <c r="M241" s="1289"/>
      <c r="N241" s="465"/>
      <c r="O241" s="99"/>
      <c r="P241" s="99"/>
      <c r="Q241" s="541"/>
      <c r="R241" s="541"/>
      <c r="S241" s="541"/>
      <c r="T241" s="541"/>
      <c r="U241" s="814"/>
      <c r="V241" s="541"/>
      <c r="W241" s="541"/>
    </row>
    <row r="242" spans="1:23" ht="15.4" customHeight="1" x14ac:dyDescent="0.25">
      <c r="A242" s="265" t="s">
        <v>192</v>
      </c>
      <c r="B242" s="74" t="s">
        <v>37</v>
      </c>
      <c r="C242" s="99">
        <v>2.96</v>
      </c>
      <c r="D242" s="99">
        <v>2.73</v>
      </c>
      <c r="E242" s="99">
        <v>2.34</v>
      </c>
      <c r="F242" s="99">
        <v>2.13</v>
      </c>
      <c r="G242" s="99">
        <v>1.92</v>
      </c>
      <c r="H242" s="99">
        <v>1.76</v>
      </c>
      <c r="I242" s="99">
        <v>1.54</v>
      </c>
      <c r="J242" s="99">
        <v>1.3</v>
      </c>
      <c r="K242" s="99">
        <v>0.97</v>
      </c>
      <c r="L242" s="99">
        <v>0.79</v>
      </c>
      <c r="M242" s="99">
        <v>0.7</v>
      </c>
      <c r="N242" s="584">
        <f t="shared" ref="N242:N246" si="39">IF(P$226=O$226,O242,IF(O242="-",O242,ROUND(O242-((O242-P242)/(P$226-O$226))*(N$226-O$226),3)))</f>
        <v>2.96</v>
      </c>
      <c r="O242" s="608">
        <f>IF(O$226=10,C242,HLOOKUP($O$226,$D$226:$M$291,17,TRUE))</f>
        <v>2.96</v>
      </c>
      <c r="P242" s="77">
        <f>IF(P$226=10,C242,HLOOKUP($P$226,$D$226:$M$291,17,TRUE))</f>
        <v>2.96</v>
      </c>
      <c r="Q242" s="541"/>
      <c r="R242" s="541" t="str">
        <f t="shared" ref="R242:R246" si="40">$B$240</f>
        <v>Công trình công nghiệp</v>
      </c>
      <c r="S242" s="541" t="str">
        <f t="shared" ref="S242:S246" si="41">$W$230</f>
        <v>Thiết kế 3 bước</v>
      </c>
      <c r="T242" s="541" t="str">
        <f t="shared" ref="T242:T246" si="42">R242&amp;S242&amp;B242</f>
        <v>Công trình công nghiệpThiết kế 3 bướcCấp đặc biệt</v>
      </c>
      <c r="U242" s="814">
        <f t="shared" ref="U242:U246" si="43">N242</f>
        <v>2.96</v>
      </c>
      <c r="V242" s="541"/>
      <c r="W242" s="541"/>
    </row>
    <row r="243" spans="1:23" ht="15.4" customHeight="1" x14ac:dyDescent="0.25">
      <c r="A243" s="265" t="s">
        <v>171</v>
      </c>
      <c r="B243" s="74" t="s">
        <v>280</v>
      </c>
      <c r="C243" s="99">
        <v>2.4700000000000002</v>
      </c>
      <c r="D243" s="99">
        <v>2.27</v>
      </c>
      <c r="E243" s="99">
        <v>1.93</v>
      </c>
      <c r="F243" s="99">
        <v>1.77</v>
      </c>
      <c r="G243" s="99">
        <v>1.6</v>
      </c>
      <c r="H243" s="99">
        <v>1.46</v>
      </c>
      <c r="I243" s="99">
        <v>1.28</v>
      </c>
      <c r="J243" s="99">
        <v>1.0900000000000001</v>
      </c>
      <c r="K243" s="99">
        <v>0.8</v>
      </c>
      <c r="L243" s="99">
        <v>0.65</v>
      </c>
      <c r="M243" s="99">
        <v>0.57999999999999996</v>
      </c>
      <c r="N243" s="584">
        <f t="shared" si="39"/>
        <v>2.4700000000000002</v>
      </c>
      <c r="O243" s="608">
        <f>IF(O$226=10,C243,HLOOKUP($O$226,$D$226:$M$291,18,TRUE))</f>
        <v>2.4700000000000002</v>
      </c>
      <c r="P243" s="77">
        <f>IF(P$226=10,C243,HLOOKUP($P$226,$D$226:$M$291,18,TRUE))</f>
        <v>2.4700000000000002</v>
      </c>
      <c r="Q243" s="541"/>
      <c r="R243" s="541" t="str">
        <f t="shared" si="40"/>
        <v>Công trình công nghiệp</v>
      </c>
      <c r="S243" s="541" t="str">
        <f t="shared" si="41"/>
        <v>Thiết kế 3 bước</v>
      </c>
      <c r="T243" s="541" t="str">
        <f t="shared" si="42"/>
        <v>Công trình công nghiệpThiết kế 3 bướcCấp I</v>
      </c>
      <c r="U243" s="814">
        <f t="shared" si="43"/>
        <v>2.4700000000000002</v>
      </c>
      <c r="V243" s="541"/>
      <c r="W243" s="541"/>
    </row>
    <row r="244" spans="1:23" ht="15.4" customHeight="1" x14ac:dyDescent="0.25">
      <c r="A244" s="265" t="s">
        <v>545</v>
      </c>
      <c r="B244" s="74" t="s">
        <v>1181</v>
      </c>
      <c r="C244" s="99">
        <v>2.0299999999999998</v>
      </c>
      <c r="D244" s="99">
        <v>1.86</v>
      </c>
      <c r="E244" s="99">
        <v>1.59</v>
      </c>
      <c r="F244" s="99">
        <v>1.46</v>
      </c>
      <c r="G244" s="99">
        <v>1.32</v>
      </c>
      <c r="H244" s="99">
        <v>1.2</v>
      </c>
      <c r="I244" s="99">
        <v>1.05</v>
      </c>
      <c r="J244" s="99">
        <v>0.9</v>
      </c>
      <c r="K244" s="99">
        <v>0.66</v>
      </c>
      <c r="L244" s="99">
        <v>0.53</v>
      </c>
      <c r="M244" s="99">
        <v>0.48</v>
      </c>
      <c r="N244" s="584">
        <f t="shared" si="39"/>
        <v>2.0299999999999998</v>
      </c>
      <c r="O244" s="608">
        <f>IF(O$226=10,C244,HLOOKUP($O$226,$D$226:$M$291,19,TRUE))</f>
        <v>2.0299999999999998</v>
      </c>
      <c r="P244" s="77">
        <f>IF(P$226=10,C244,HLOOKUP($P$226,$D$226:$M$291,19,TRUE))</f>
        <v>2.0299999999999998</v>
      </c>
      <c r="Q244" s="541"/>
      <c r="R244" s="541" t="str">
        <f t="shared" si="40"/>
        <v>Công trình công nghiệp</v>
      </c>
      <c r="S244" s="541" t="str">
        <f t="shared" si="41"/>
        <v>Thiết kế 3 bước</v>
      </c>
      <c r="T244" s="541" t="str">
        <f t="shared" si="42"/>
        <v>Công trình công nghiệpThiết kế 3 bướcCấp II</v>
      </c>
      <c r="U244" s="814">
        <f t="shared" si="43"/>
        <v>2.0299999999999998</v>
      </c>
      <c r="V244" s="541"/>
      <c r="W244" s="541"/>
    </row>
    <row r="245" spans="1:23" ht="15.4" customHeight="1" x14ac:dyDescent="0.25">
      <c r="A245" s="265" t="s">
        <v>955</v>
      </c>
      <c r="B245" s="74" t="s">
        <v>731</v>
      </c>
      <c r="C245" s="99">
        <v>1.78</v>
      </c>
      <c r="D245" s="99">
        <v>1.65</v>
      </c>
      <c r="E245" s="99">
        <v>1.4</v>
      </c>
      <c r="F245" s="99">
        <v>1.27</v>
      </c>
      <c r="G245" s="99">
        <v>1.17</v>
      </c>
      <c r="H245" s="99">
        <v>1.06</v>
      </c>
      <c r="I245" s="99">
        <v>0.93</v>
      </c>
      <c r="J245" s="99">
        <v>0.79</v>
      </c>
      <c r="K245" s="99">
        <v>0.57999999999999996</v>
      </c>
      <c r="L245" s="99">
        <v>0.47</v>
      </c>
      <c r="M245" s="99">
        <v>0.42</v>
      </c>
      <c r="N245" s="584">
        <f t="shared" si="39"/>
        <v>1.78</v>
      </c>
      <c r="O245" s="608">
        <f>IF(O$226=10,C245,HLOOKUP($O$226,$D$226:$M$291,20,TRUE))</f>
        <v>1.78</v>
      </c>
      <c r="P245" s="77">
        <f>IF(P$226=10,C245,HLOOKUP($P$226,$D$226:$M$291,20,TRUE))</f>
        <v>1.78</v>
      </c>
      <c r="Q245" s="541"/>
      <c r="R245" s="541" t="str">
        <f t="shared" si="40"/>
        <v>Công trình công nghiệp</v>
      </c>
      <c r="S245" s="541" t="str">
        <f t="shared" si="41"/>
        <v>Thiết kế 3 bước</v>
      </c>
      <c r="T245" s="541" t="str">
        <f t="shared" si="42"/>
        <v>Công trình công nghiệpThiết kế 3 bướcCấp III</v>
      </c>
      <c r="U245" s="814">
        <f t="shared" si="43"/>
        <v>1.78</v>
      </c>
      <c r="V245" s="541"/>
      <c r="W245" s="541"/>
    </row>
    <row r="246" spans="1:23" ht="15.4" customHeight="1" x14ac:dyDescent="0.25">
      <c r="A246" s="265" t="s">
        <v>1337</v>
      </c>
      <c r="B246" s="74" t="s">
        <v>487</v>
      </c>
      <c r="C246" s="99">
        <v>1.59</v>
      </c>
      <c r="D246" s="99">
        <v>1.47</v>
      </c>
      <c r="E246" s="99">
        <v>1.24</v>
      </c>
      <c r="F246" s="99">
        <v>1.1399999999999999</v>
      </c>
      <c r="G246" s="99">
        <v>0.98</v>
      </c>
      <c r="H246" s="99">
        <v>0.83</v>
      </c>
      <c r="I246" s="99" t="s">
        <v>352</v>
      </c>
      <c r="J246" s="99" t="s">
        <v>352</v>
      </c>
      <c r="K246" s="99" t="s">
        <v>352</v>
      </c>
      <c r="L246" s="99" t="s">
        <v>352</v>
      </c>
      <c r="M246" s="99" t="s">
        <v>352</v>
      </c>
      <c r="N246" s="584">
        <f t="shared" si="39"/>
        <v>1.59</v>
      </c>
      <c r="O246" s="608">
        <f>IF(O$226=10,C246,HLOOKUP($O$226,$D$226:$M$291,21,TRUE))</f>
        <v>1.59</v>
      </c>
      <c r="P246" s="77">
        <f>IF(P$226=10,C246,HLOOKUP($P$226,$D$226:$M$291,21,TRUE))</f>
        <v>1.59</v>
      </c>
      <c r="Q246" s="541"/>
      <c r="R246" s="541" t="str">
        <f t="shared" si="40"/>
        <v>Công trình công nghiệp</v>
      </c>
      <c r="S246" s="541" t="str">
        <f t="shared" si="41"/>
        <v>Thiết kế 3 bước</v>
      </c>
      <c r="T246" s="541" t="str">
        <f t="shared" si="42"/>
        <v>Công trình công nghiệpThiết kế 3 bướcCấp IV</v>
      </c>
      <c r="U246" s="814">
        <f t="shared" si="43"/>
        <v>1.59</v>
      </c>
      <c r="V246" s="541"/>
      <c r="W246" s="541"/>
    </row>
    <row r="247" spans="1:23" ht="15.4" customHeight="1" x14ac:dyDescent="0.25">
      <c r="A247" s="265" t="s">
        <v>776</v>
      </c>
      <c r="B247" s="1287" t="s">
        <v>457</v>
      </c>
      <c r="C247" s="1288"/>
      <c r="D247" s="1288"/>
      <c r="E247" s="1288"/>
      <c r="F247" s="1288"/>
      <c r="G247" s="1288"/>
      <c r="H247" s="1288"/>
      <c r="I247" s="1288"/>
      <c r="J247" s="1288"/>
      <c r="K247" s="1288"/>
      <c r="L247" s="1288"/>
      <c r="M247" s="1289"/>
      <c r="N247" s="465"/>
      <c r="O247" s="99"/>
      <c r="P247" s="99"/>
      <c r="Q247" s="541"/>
      <c r="R247" s="541"/>
      <c r="S247" s="541"/>
      <c r="T247" s="541"/>
      <c r="U247" s="814"/>
      <c r="V247" s="541"/>
      <c r="W247" s="541"/>
    </row>
    <row r="248" spans="1:23" ht="15.4" customHeight="1" x14ac:dyDescent="0.25">
      <c r="A248" s="265" t="s">
        <v>1470</v>
      </c>
      <c r="B248" s="74" t="s">
        <v>37</v>
      </c>
      <c r="C248" s="99">
        <v>4.7</v>
      </c>
      <c r="D248" s="99">
        <v>4.2699999999999996</v>
      </c>
      <c r="E248" s="99">
        <v>3.66</v>
      </c>
      <c r="F248" s="99">
        <v>3.32</v>
      </c>
      <c r="G248" s="99">
        <v>3.01</v>
      </c>
      <c r="H248" s="99">
        <v>2.75</v>
      </c>
      <c r="I248" s="99">
        <v>2.4</v>
      </c>
      <c r="J248" s="99">
        <v>2.0299999999999998</v>
      </c>
      <c r="K248" s="99">
        <v>1.52</v>
      </c>
      <c r="L248" s="99">
        <v>1.21</v>
      </c>
      <c r="M248" s="99">
        <v>1.04</v>
      </c>
      <c r="N248" s="584">
        <f t="shared" ref="N248:N252" si="44">IF(P$226=O$226,O248,IF(O248="-",O248,ROUND(O248-((O248-P248)/(P$226-O$226))*(N$226-O$226),3)))</f>
        <v>4.7</v>
      </c>
      <c r="O248" s="608">
        <f>IF(O$226=10,C248,HLOOKUP($O$226,$D$226:$M$291,23,TRUE))</f>
        <v>4.7</v>
      </c>
      <c r="P248" s="77">
        <f>IF(P$226=10,C248,HLOOKUP($P$226,$D$226:$M$291,23,TRUE))</f>
        <v>4.7</v>
      </c>
      <c r="Q248" s="541"/>
      <c r="R248" s="541" t="str">
        <f t="shared" ref="R248:R252" si="45">$B$240</f>
        <v>Công trình công nghiệp</v>
      </c>
      <c r="S248" s="541" t="str">
        <f t="shared" ref="S248:S252" si="46">$W$229</f>
        <v>Thiết kế 2 bước</v>
      </c>
      <c r="T248" s="541" t="str">
        <f t="shared" ref="T248:T252" si="47">R248&amp;S248&amp;B248</f>
        <v>Công trình công nghiệpThiết kế 2 bướcCấp đặc biệt</v>
      </c>
      <c r="U248" s="814">
        <f t="shared" ref="U248:U252" si="48">N248</f>
        <v>4.7</v>
      </c>
      <c r="V248" s="541"/>
      <c r="W248" s="541"/>
    </row>
    <row r="249" spans="1:23" ht="15.4" customHeight="1" x14ac:dyDescent="0.25">
      <c r="A249" s="265" t="s">
        <v>359</v>
      </c>
      <c r="B249" s="74" t="s">
        <v>280</v>
      </c>
      <c r="C249" s="99">
        <v>3.87</v>
      </c>
      <c r="D249" s="99">
        <v>3.57</v>
      </c>
      <c r="E249" s="99">
        <v>3.02</v>
      </c>
      <c r="F249" s="99">
        <v>2.77</v>
      </c>
      <c r="G249" s="99">
        <v>2.5</v>
      </c>
      <c r="H249" s="99">
        <v>2.2799999999999998</v>
      </c>
      <c r="I249" s="99">
        <v>2.0099999999999998</v>
      </c>
      <c r="J249" s="99">
        <v>1.7</v>
      </c>
      <c r="K249" s="99">
        <v>1.26</v>
      </c>
      <c r="L249" s="99">
        <v>1.02</v>
      </c>
      <c r="M249" s="99">
        <v>0.88</v>
      </c>
      <c r="N249" s="584">
        <f t="shared" si="44"/>
        <v>3.87</v>
      </c>
      <c r="O249" s="608">
        <f>IF(O$226=10,C249,HLOOKUP($O$226,$D$226:$M$291,24,TRUE))</f>
        <v>3.87</v>
      </c>
      <c r="P249" s="77">
        <f>IF(P$226=10,C249,HLOOKUP($P$226,$D$226:$M$291,24,TRUE))</f>
        <v>3.87</v>
      </c>
      <c r="Q249" s="541"/>
      <c r="R249" s="541" t="str">
        <f t="shared" si="45"/>
        <v>Công trình công nghiệp</v>
      </c>
      <c r="S249" s="541" t="str">
        <f t="shared" si="46"/>
        <v>Thiết kế 2 bước</v>
      </c>
      <c r="T249" s="541" t="str">
        <f t="shared" si="47"/>
        <v>Công trình công nghiệpThiết kế 2 bướcCấp I</v>
      </c>
      <c r="U249" s="814">
        <f t="shared" si="48"/>
        <v>3.87</v>
      </c>
      <c r="V249" s="541"/>
      <c r="W249" s="541"/>
    </row>
    <row r="250" spans="1:23" ht="15.4" customHeight="1" x14ac:dyDescent="0.25">
      <c r="A250" s="265" t="s">
        <v>737</v>
      </c>
      <c r="B250" s="74" t="s">
        <v>1181</v>
      </c>
      <c r="C250" s="99">
        <v>3.13</v>
      </c>
      <c r="D250" s="99">
        <v>2.9</v>
      </c>
      <c r="E250" s="99">
        <v>2.4300000000000002</v>
      </c>
      <c r="F250" s="99">
        <v>2.2400000000000002</v>
      </c>
      <c r="G250" s="99">
        <v>2.0299999999999998</v>
      </c>
      <c r="H250" s="99">
        <v>1.9</v>
      </c>
      <c r="I250" s="99">
        <v>1.66</v>
      </c>
      <c r="J250" s="99">
        <v>1.42</v>
      </c>
      <c r="K250" s="99">
        <v>1.04</v>
      </c>
      <c r="L250" s="99">
        <v>0.82</v>
      </c>
      <c r="M250" s="99">
        <v>0.72</v>
      </c>
      <c r="N250" s="584">
        <f t="shared" si="44"/>
        <v>3.13</v>
      </c>
      <c r="O250" s="608">
        <f>IF(O$226=10,C250,HLOOKUP($O$226,$D$226:$M$291,25,TRUE))</f>
        <v>3.13</v>
      </c>
      <c r="P250" s="77">
        <f>IF(P$226=10,C250,HLOOKUP($P$226,$D$226:$M$291,25,TRUE))</f>
        <v>3.13</v>
      </c>
      <c r="Q250" s="541"/>
      <c r="R250" s="541" t="str">
        <f t="shared" si="45"/>
        <v>Công trình công nghiệp</v>
      </c>
      <c r="S250" s="541" t="str">
        <f t="shared" si="46"/>
        <v>Thiết kế 2 bước</v>
      </c>
      <c r="T250" s="541" t="str">
        <f t="shared" si="47"/>
        <v>Công trình công nghiệpThiết kế 2 bướcCấp II</v>
      </c>
      <c r="U250" s="814">
        <f t="shared" si="48"/>
        <v>3.13</v>
      </c>
      <c r="V250" s="541"/>
      <c r="W250" s="541"/>
    </row>
    <row r="251" spans="1:23" ht="15.4" customHeight="1" x14ac:dyDescent="0.25">
      <c r="A251" s="265" t="s">
        <v>717</v>
      </c>
      <c r="B251" s="74" t="s">
        <v>731</v>
      </c>
      <c r="C251" s="99">
        <v>2.78</v>
      </c>
      <c r="D251" s="99">
        <v>2.57</v>
      </c>
      <c r="E251" s="99">
        <v>2.16</v>
      </c>
      <c r="F251" s="99">
        <v>1.99</v>
      </c>
      <c r="G251" s="99">
        <v>1.79</v>
      </c>
      <c r="H251" s="99">
        <v>1.68</v>
      </c>
      <c r="I251" s="99">
        <v>1.47</v>
      </c>
      <c r="J251" s="99">
        <v>1.25</v>
      </c>
      <c r="K251" s="99">
        <v>0.91</v>
      </c>
      <c r="L251" s="99">
        <v>0.72</v>
      </c>
      <c r="M251" s="99">
        <v>0.64</v>
      </c>
      <c r="N251" s="584">
        <f t="shared" si="44"/>
        <v>2.78</v>
      </c>
      <c r="O251" s="608">
        <f>IF(O$226=10,C251,HLOOKUP($O$226,$D$226:$M$291,26,TRUE))</f>
        <v>2.78</v>
      </c>
      <c r="P251" s="77">
        <f>IF(P$226=10,C251,HLOOKUP($P$226,$D$226:$M$291,26,TRUE))</f>
        <v>2.78</v>
      </c>
      <c r="Q251" s="541"/>
      <c r="R251" s="541" t="str">
        <f t="shared" si="45"/>
        <v>Công trình công nghiệp</v>
      </c>
      <c r="S251" s="541" t="str">
        <f t="shared" si="46"/>
        <v>Thiết kế 2 bước</v>
      </c>
      <c r="T251" s="541" t="str">
        <f t="shared" si="47"/>
        <v>Công trình công nghiệpThiết kế 2 bướcCấp III</v>
      </c>
      <c r="U251" s="814">
        <f t="shared" si="48"/>
        <v>2.78</v>
      </c>
      <c r="V251" s="541"/>
      <c r="W251" s="541"/>
    </row>
    <row r="252" spans="1:23" ht="15.4" customHeight="1" x14ac:dyDescent="0.25">
      <c r="A252" s="265" t="s">
        <v>1142</v>
      </c>
      <c r="B252" s="74" t="s">
        <v>487</v>
      </c>
      <c r="C252" s="99">
        <v>2.46</v>
      </c>
      <c r="D252" s="99">
        <v>2.25</v>
      </c>
      <c r="E252" s="99">
        <v>1.89</v>
      </c>
      <c r="F252" s="99">
        <v>1.72</v>
      </c>
      <c r="G252" s="99">
        <v>1.47</v>
      </c>
      <c r="H252" s="99">
        <v>1.22</v>
      </c>
      <c r="I252" s="99" t="s">
        <v>352</v>
      </c>
      <c r="J252" s="99" t="s">
        <v>352</v>
      </c>
      <c r="K252" s="99" t="s">
        <v>352</v>
      </c>
      <c r="L252" s="99" t="s">
        <v>352</v>
      </c>
      <c r="M252" s="99" t="s">
        <v>352</v>
      </c>
      <c r="N252" s="584">
        <f t="shared" si="44"/>
        <v>2.46</v>
      </c>
      <c r="O252" s="608">
        <f>IF(O$226=10,C252,HLOOKUP($O$226,$D$226:$M$291,27,TRUE))</f>
        <v>2.46</v>
      </c>
      <c r="P252" s="77">
        <f>IF(P$226=10,C252,HLOOKUP($P$226,$D$226:$M$291,27,TRUE))</f>
        <v>2.46</v>
      </c>
      <c r="Q252" s="541"/>
      <c r="R252" s="541" t="str">
        <f t="shared" si="45"/>
        <v>Công trình công nghiệp</v>
      </c>
      <c r="S252" s="541" t="str">
        <f t="shared" si="46"/>
        <v>Thiết kế 2 bước</v>
      </c>
      <c r="T252" s="541" t="str">
        <f t="shared" si="47"/>
        <v>Công trình công nghiệpThiết kế 2 bướcCấp IV</v>
      </c>
      <c r="U252" s="814">
        <f t="shared" si="48"/>
        <v>2.46</v>
      </c>
      <c r="V252" s="541"/>
      <c r="W252" s="541"/>
    </row>
    <row r="253" spans="1:23" ht="15.4" customHeight="1" x14ac:dyDescent="0.25">
      <c r="A253" s="612">
        <v>3</v>
      </c>
      <c r="B253" s="303" t="str">
        <f>B50</f>
        <v>Công trình giao thông</v>
      </c>
      <c r="C253" s="871"/>
      <c r="D253" s="871"/>
      <c r="E253" s="871"/>
      <c r="F253" s="871"/>
      <c r="G253" s="871"/>
      <c r="H253" s="871"/>
      <c r="I253" s="871"/>
      <c r="J253" s="871"/>
      <c r="K253" s="871"/>
      <c r="L253" s="871"/>
      <c r="M253" s="238"/>
      <c r="N253" s="56"/>
      <c r="O253" s="445"/>
      <c r="P253" s="445"/>
      <c r="Q253" s="48"/>
      <c r="R253" s="48"/>
      <c r="S253" s="48"/>
      <c r="T253" s="48"/>
      <c r="U253" s="651"/>
      <c r="V253" s="48"/>
      <c r="W253" s="48"/>
    </row>
    <row r="254" spans="1:23" ht="15.4" customHeight="1" x14ac:dyDescent="0.25">
      <c r="A254" s="265" t="s">
        <v>996</v>
      </c>
      <c r="B254" s="1287" t="s">
        <v>249</v>
      </c>
      <c r="C254" s="1288"/>
      <c r="D254" s="1288"/>
      <c r="E254" s="1288"/>
      <c r="F254" s="1288"/>
      <c r="G254" s="1288"/>
      <c r="H254" s="1288"/>
      <c r="I254" s="1288"/>
      <c r="J254" s="1288"/>
      <c r="K254" s="1288"/>
      <c r="L254" s="1288"/>
      <c r="M254" s="1289"/>
      <c r="N254" s="465"/>
      <c r="O254" s="99"/>
      <c r="P254" s="99"/>
      <c r="Q254" s="541"/>
      <c r="R254" s="541"/>
      <c r="S254" s="541"/>
      <c r="T254" s="541"/>
      <c r="U254" s="814"/>
      <c r="V254" s="541"/>
      <c r="W254" s="541"/>
    </row>
    <row r="255" spans="1:23" ht="15.4" customHeight="1" x14ac:dyDescent="0.25">
      <c r="A255" s="265" t="s">
        <v>308</v>
      </c>
      <c r="B255" s="74" t="s">
        <v>37</v>
      </c>
      <c r="C255" s="99">
        <v>2.0499999999999998</v>
      </c>
      <c r="D255" s="99">
        <v>1.92</v>
      </c>
      <c r="E255" s="99">
        <v>1.68</v>
      </c>
      <c r="F255" s="99">
        <v>1.5</v>
      </c>
      <c r="G255" s="99">
        <v>1.36</v>
      </c>
      <c r="H255" s="99">
        <v>1.24</v>
      </c>
      <c r="I255" s="99">
        <v>1.08</v>
      </c>
      <c r="J255" s="99">
        <v>0.92</v>
      </c>
      <c r="K255" s="99">
        <v>0.68</v>
      </c>
      <c r="L255" s="99">
        <v>0.51</v>
      </c>
      <c r="M255" s="99">
        <v>0.45</v>
      </c>
      <c r="N255" s="584">
        <f t="shared" ref="N255:N259" si="49">IF(P$226=O$226,O255,IF(O255="-",O255,ROUND(O255-((O255-P255)/(P$226-O$226))*(N$226-O$226),3)))</f>
        <v>2.0499999999999998</v>
      </c>
      <c r="O255" s="608">
        <f>IF(O$226=10,C255,HLOOKUP($O$226,$D$226:$M$291,30,TRUE))</f>
        <v>2.0499999999999998</v>
      </c>
      <c r="P255" s="77">
        <f>IF(P$226=10,C255,HLOOKUP($P$226,$D$226:$M$291,30,TRUE))</f>
        <v>2.0499999999999998</v>
      </c>
      <c r="Q255" s="541"/>
      <c r="R255" s="541" t="str">
        <f t="shared" ref="R255:R259" si="50">$B$253</f>
        <v>Công trình giao thông</v>
      </c>
      <c r="S255" s="541" t="str">
        <f t="shared" ref="S255:S259" si="51">$W$230</f>
        <v>Thiết kế 3 bước</v>
      </c>
      <c r="T255" s="541" t="str">
        <f t="shared" ref="T255:T259" si="52">R255&amp;S255&amp;B255</f>
        <v>Công trình giao thôngThiết kế 3 bướcCấp đặc biệt</v>
      </c>
      <c r="U255" s="814">
        <f t="shared" ref="U255:U259" si="53">N255</f>
        <v>2.0499999999999998</v>
      </c>
      <c r="V255" s="541"/>
      <c r="W255" s="541"/>
    </row>
    <row r="256" spans="1:23" ht="15.4" customHeight="1" x14ac:dyDescent="0.25">
      <c r="A256" s="265" t="s">
        <v>286</v>
      </c>
      <c r="B256" s="74" t="s">
        <v>280</v>
      </c>
      <c r="C256" s="99">
        <v>1.44</v>
      </c>
      <c r="D256" s="99">
        <v>1.39</v>
      </c>
      <c r="E256" s="99">
        <v>1.1299999999999999</v>
      </c>
      <c r="F256" s="99">
        <v>1.05</v>
      </c>
      <c r="G256" s="99">
        <v>0.95</v>
      </c>
      <c r="H256" s="99">
        <v>0.81</v>
      </c>
      <c r="I256" s="99">
        <v>0.68</v>
      </c>
      <c r="J256" s="99">
        <v>0.57999999999999996</v>
      </c>
      <c r="K256" s="99">
        <v>0.44</v>
      </c>
      <c r="L256" s="99">
        <v>0.34</v>
      </c>
      <c r="M256" s="99">
        <v>0.28000000000000003</v>
      </c>
      <c r="N256" s="584">
        <f t="shared" si="49"/>
        <v>1.44</v>
      </c>
      <c r="O256" s="608">
        <f>IF(O$226=10,C256,HLOOKUP($O$226,$D$226:$M$291,31,TRUE))</f>
        <v>1.44</v>
      </c>
      <c r="P256" s="77">
        <f>IF(P$226=10,C256,HLOOKUP($P$226,$D$226:$M$291,31,TRUE))</f>
        <v>1.44</v>
      </c>
      <c r="Q256" s="541"/>
      <c r="R256" s="541" t="str">
        <f t="shared" si="50"/>
        <v>Công trình giao thông</v>
      </c>
      <c r="S256" s="541" t="str">
        <f t="shared" si="51"/>
        <v>Thiết kế 3 bước</v>
      </c>
      <c r="T256" s="541" t="str">
        <f t="shared" si="52"/>
        <v>Công trình giao thôngThiết kế 3 bướcCấp I</v>
      </c>
      <c r="U256" s="814">
        <f t="shared" si="53"/>
        <v>1.44</v>
      </c>
      <c r="V256" s="541"/>
      <c r="W256" s="541"/>
    </row>
    <row r="257" spans="1:23" ht="15.4" customHeight="1" x14ac:dyDescent="0.25">
      <c r="A257" s="265" t="s">
        <v>665</v>
      </c>
      <c r="B257" s="74" t="s">
        <v>1181</v>
      </c>
      <c r="C257" s="99">
        <v>1.19</v>
      </c>
      <c r="D257" s="99">
        <v>1.08</v>
      </c>
      <c r="E257" s="99">
        <v>0.92</v>
      </c>
      <c r="F257" s="99">
        <v>0.84</v>
      </c>
      <c r="G257" s="99">
        <v>0.77</v>
      </c>
      <c r="H257" s="99">
        <v>0.7</v>
      </c>
      <c r="I257" s="99">
        <v>0.6</v>
      </c>
      <c r="J257" s="99">
        <v>0.51</v>
      </c>
      <c r="K257" s="99">
        <v>0.39</v>
      </c>
      <c r="L257" s="99">
        <v>0.28999999999999998</v>
      </c>
      <c r="M257" s="99">
        <v>0.25</v>
      </c>
      <c r="N257" s="584">
        <f t="shared" si="49"/>
        <v>1.19</v>
      </c>
      <c r="O257" s="608">
        <f>IF(O$226=10,C257,HLOOKUP($O$226,$D$226:$M$291,32,TRUE))</f>
        <v>1.19</v>
      </c>
      <c r="P257" s="77">
        <f>IF(P$226=10,C257,HLOOKUP($P$226,$D$226:$M$291,32,TRUE))</f>
        <v>1.19</v>
      </c>
      <c r="Q257" s="541"/>
      <c r="R257" s="541" t="str">
        <f t="shared" si="50"/>
        <v>Công trình giao thông</v>
      </c>
      <c r="S257" s="541" t="str">
        <f t="shared" si="51"/>
        <v>Thiết kế 3 bước</v>
      </c>
      <c r="T257" s="541" t="str">
        <f t="shared" si="52"/>
        <v>Công trình giao thôngThiết kế 3 bướcCấp II</v>
      </c>
      <c r="U257" s="814">
        <f t="shared" si="53"/>
        <v>1.19</v>
      </c>
      <c r="V257" s="541"/>
      <c r="W257" s="541"/>
    </row>
    <row r="258" spans="1:23" ht="15.4" customHeight="1" x14ac:dyDescent="0.25">
      <c r="A258" s="265" t="s">
        <v>1092</v>
      </c>
      <c r="B258" s="74" t="s">
        <v>731</v>
      </c>
      <c r="C258" s="99">
        <v>1.05</v>
      </c>
      <c r="D258" s="99">
        <v>0.93</v>
      </c>
      <c r="E258" s="99">
        <v>0.81</v>
      </c>
      <c r="F258" s="99">
        <v>0.74</v>
      </c>
      <c r="G258" s="99">
        <v>0.68</v>
      </c>
      <c r="H258" s="99">
        <v>0.57999999999999996</v>
      </c>
      <c r="I258" s="99">
        <v>0.48</v>
      </c>
      <c r="J258" s="99">
        <v>0.43</v>
      </c>
      <c r="K258" s="99">
        <v>0.32</v>
      </c>
      <c r="L258" s="99">
        <v>0.25</v>
      </c>
      <c r="M258" s="99">
        <v>0.21</v>
      </c>
      <c r="N258" s="584">
        <f t="shared" si="49"/>
        <v>1.05</v>
      </c>
      <c r="O258" s="608">
        <f>IF(O$226=10,C258,HLOOKUP($O$226,$D$226:$M$291,33,TRUE))</f>
        <v>1.05</v>
      </c>
      <c r="P258" s="77">
        <f>IF(P$226=10,C258,HLOOKUP($P$226,$D$226:$M$291,33,TRUE))</f>
        <v>1.05</v>
      </c>
      <c r="Q258" s="541"/>
      <c r="R258" s="541" t="str">
        <f t="shared" si="50"/>
        <v>Công trình giao thông</v>
      </c>
      <c r="S258" s="541" t="str">
        <f t="shared" si="51"/>
        <v>Thiết kế 3 bước</v>
      </c>
      <c r="T258" s="541" t="str">
        <f t="shared" si="52"/>
        <v>Công trình giao thôngThiết kế 3 bướcCấp III</v>
      </c>
      <c r="U258" s="814">
        <f t="shared" si="53"/>
        <v>1.05</v>
      </c>
      <c r="V258" s="541"/>
      <c r="W258" s="541"/>
    </row>
    <row r="259" spans="1:23" ht="15.4" customHeight="1" x14ac:dyDescent="0.25">
      <c r="A259" s="265" t="s">
        <v>1449</v>
      </c>
      <c r="B259" s="74" t="s">
        <v>487</v>
      </c>
      <c r="C259" s="99">
        <v>0.95</v>
      </c>
      <c r="D259" s="99">
        <v>0.87</v>
      </c>
      <c r="E259" s="99">
        <v>0.76</v>
      </c>
      <c r="F259" s="99">
        <v>0.69</v>
      </c>
      <c r="G259" s="99">
        <v>0.59</v>
      </c>
      <c r="H259" s="99">
        <v>0.49</v>
      </c>
      <c r="I259" s="99">
        <v>0.43</v>
      </c>
      <c r="J259" s="99" t="s">
        <v>352</v>
      </c>
      <c r="K259" s="99" t="s">
        <v>352</v>
      </c>
      <c r="L259" s="99" t="s">
        <v>352</v>
      </c>
      <c r="M259" s="99" t="s">
        <v>352</v>
      </c>
      <c r="N259" s="584">
        <f t="shared" si="49"/>
        <v>0.95</v>
      </c>
      <c r="O259" s="608">
        <f>IF(O$226=10,C259,HLOOKUP($O$226,$D$226:$M$291,34,TRUE))</f>
        <v>0.95</v>
      </c>
      <c r="P259" s="77">
        <f>IF(P$226=10,C259,HLOOKUP($P$226,$D$226:$M$291,34,TRUE))</f>
        <v>0.95</v>
      </c>
      <c r="Q259" s="541"/>
      <c r="R259" s="541" t="str">
        <f t="shared" si="50"/>
        <v>Công trình giao thông</v>
      </c>
      <c r="S259" s="541" t="str">
        <f t="shared" si="51"/>
        <v>Thiết kế 3 bước</v>
      </c>
      <c r="T259" s="541" t="str">
        <f t="shared" si="52"/>
        <v>Công trình giao thôngThiết kế 3 bướcCấp IV</v>
      </c>
      <c r="U259" s="814">
        <f t="shared" si="53"/>
        <v>0.95</v>
      </c>
      <c r="V259" s="541"/>
      <c r="W259" s="541"/>
    </row>
    <row r="260" spans="1:23" ht="15.4" customHeight="1" x14ac:dyDescent="0.25">
      <c r="A260" s="265" t="s">
        <v>579</v>
      </c>
      <c r="B260" s="1287" t="s">
        <v>457</v>
      </c>
      <c r="C260" s="1288"/>
      <c r="D260" s="1288"/>
      <c r="E260" s="1288"/>
      <c r="F260" s="1288"/>
      <c r="G260" s="1288"/>
      <c r="H260" s="1288"/>
      <c r="I260" s="1288"/>
      <c r="J260" s="1288"/>
      <c r="K260" s="1288"/>
      <c r="L260" s="1288"/>
      <c r="M260" s="1289"/>
      <c r="N260" s="465"/>
      <c r="O260" s="99"/>
      <c r="P260" s="99"/>
      <c r="Q260" s="541"/>
      <c r="R260" s="541"/>
      <c r="S260" s="541"/>
      <c r="T260" s="541"/>
      <c r="U260" s="814"/>
      <c r="V260" s="541"/>
      <c r="W260" s="541"/>
    </row>
    <row r="261" spans="1:23" ht="15.4" customHeight="1" x14ac:dyDescent="0.25">
      <c r="A261" s="265" t="s">
        <v>89</v>
      </c>
      <c r="B261" s="74" t="s">
        <v>37</v>
      </c>
      <c r="C261" s="99">
        <v>3.01</v>
      </c>
      <c r="D261" s="99">
        <v>2.76</v>
      </c>
      <c r="E261" s="99">
        <v>2.36</v>
      </c>
      <c r="F261" s="99">
        <v>2.15</v>
      </c>
      <c r="G261" s="99">
        <v>1.95</v>
      </c>
      <c r="H261" s="99">
        <v>1.78</v>
      </c>
      <c r="I261" s="99">
        <v>1.52</v>
      </c>
      <c r="J261" s="99">
        <v>1.32</v>
      </c>
      <c r="K261" s="99">
        <v>1.02</v>
      </c>
      <c r="L261" s="99">
        <v>0.75</v>
      </c>
      <c r="M261" s="99">
        <v>0.66</v>
      </c>
      <c r="N261" s="584">
        <f t="shared" ref="N261:N265" si="54">IF(P$226=O$226,O261,IF(O261="-",O261,ROUND(O261-((O261-P261)/(P$226-O$226))*(N$226-O$226),3)))</f>
        <v>3.01</v>
      </c>
      <c r="O261" s="608">
        <f>IF(O$226=10,C261,HLOOKUP($O$226,$D$226:$M$291,36,TRUE))</f>
        <v>3.01</v>
      </c>
      <c r="P261" s="77">
        <f>IF(P$226=10,C261,HLOOKUP($P$226,$D$226:$M$291,36,TRUE))</f>
        <v>3.01</v>
      </c>
      <c r="Q261" s="541"/>
      <c r="R261" s="541" t="str">
        <f t="shared" ref="R261:R265" si="55">$B$253</f>
        <v>Công trình giao thông</v>
      </c>
      <c r="S261" s="541" t="str">
        <f t="shared" ref="S261:S265" si="56">$W$229</f>
        <v>Thiết kế 2 bước</v>
      </c>
      <c r="T261" s="541" t="str">
        <f t="shared" ref="T261:T265" si="57">R261&amp;S261&amp;B261</f>
        <v>Công trình giao thôngThiết kế 2 bướcCấp đặc biệt</v>
      </c>
      <c r="U261" s="814">
        <f t="shared" ref="U261:U265" si="58">N261</f>
        <v>3.01</v>
      </c>
      <c r="V261" s="541"/>
      <c r="W261" s="541"/>
    </row>
    <row r="262" spans="1:23" ht="15.4" customHeight="1" x14ac:dyDescent="0.25">
      <c r="A262" s="265" t="s">
        <v>461</v>
      </c>
      <c r="B262" s="74" t="s">
        <v>280</v>
      </c>
      <c r="C262" s="99">
        <v>2.27</v>
      </c>
      <c r="D262" s="99">
        <v>2.15</v>
      </c>
      <c r="E262" s="99">
        <v>1.83</v>
      </c>
      <c r="F262" s="99">
        <v>1.67</v>
      </c>
      <c r="G262" s="99">
        <v>1.51</v>
      </c>
      <c r="H262" s="99">
        <v>1.38</v>
      </c>
      <c r="I262" s="99">
        <v>1.21</v>
      </c>
      <c r="J262" s="99">
        <v>1.03</v>
      </c>
      <c r="K262" s="99">
        <v>0.79</v>
      </c>
      <c r="L262" s="99">
        <v>0.61</v>
      </c>
      <c r="M262" s="99">
        <v>0.49</v>
      </c>
      <c r="N262" s="584">
        <f t="shared" si="54"/>
        <v>2.27</v>
      </c>
      <c r="O262" s="608">
        <f>IF(O$226=10,C262,HLOOKUP($O$226,$D$226:$M$291,37,TRUE))</f>
        <v>2.27</v>
      </c>
      <c r="P262" s="77">
        <f>IF(P$226=10,C262,HLOOKUP($P$226,$D$226:$M$291,37,TRUE))</f>
        <v>2.27</v>
      </c>
      <c r="Q262" s="541"/>
      <c r="R262" s="541" t="str">
        <f t="shared" si="55"/>
        <v>Công trình giao thông</v>
      </c>
      <c r="S262" s="541" t="str">
        <f t="shared" si="56"/>
        <v>Thiết kế 2 bước</v>
      </c>
      <c r="T262" s="541" t="str">
        <f t="shared" si="57"/>
        <v>Công trình giao thôngThiết kế 2 bướcCấp I</v>
      </c>
      <c r="U262" s="814">
        <f t="shared" si="58"/>
        <v>2.27</v>
      </c>
      <c r="V262" s="541"/>
      <c r="W262" s="541"/>
    </row>
    <row r="263" spans="1:23" ht="15.4" customHeight="1" x14ac:dyDescent="0.25">
      <c r="A263" s="265" t="s">
        <v>865</v>
      </c>
      <c r="B263" s="74" t="s">
        <v>1181</v>
      </c>
      <c r="C263" s="99">
        <v>1.67</v>
      </c>
      <c r="D263" s="99">
        <v>1.55</v>
      </c>
      <c r="E263" s="99">
        <v>1.32</v>
      </c>
      <c r="F263" s="99">
        <v>1.2</v>
      </c>
      <c r="G263" s="99">
        <v>1.1000000000000001</v>
      </c>
      <c r="H263" s="99">
        <v>1.01</v>
      </c>
      <c r="I263" s="99">
        <v>0.85</v>
      </c>
      <c r="J263" s="99">
        <v>0.72</v>
      </c>
      <c r="K263" s="99">
        <v>0.56000000000000005</v>
      </c>
      <c r="L263" s="99">
        <v>0.42</v>
      </c>
      <c r="M263" s="99">
        <v>0.36</v>
      </c>
      <c r="N263" s="584">
        <f t="shared" si="54"/>
        <v>1.67</v>
      </c>
      <c r="O263" s="608">
        <f>IF(O$226=10,C263,HLOOKUP($O$226,$D$226:$M$291,38,TRUE))</f>
        <v>1.67</v>
      </c>
      <c r="P263" s="77">
        <f>IF(P$226=10,C263,HLOOKUP($P$226,$D$226:$M$291,38,TRUE))</f>
        <v>1.67</v>
      </c>
      <c r="Q263" s="541"/>
      <c r="R263" s="541" t="str">
        <f t="shared" si="55"/>
        <v>Công trình giao thông</v>
      </c>
      <c r="S263" s="541" t="str">
        <f t="shared" si="56"/>
        <v>Thiết kế 2 bước</v>
      </c>
      <c r="T263" s="541" t="str">
        <f t="shared" si="57"/>
        <v>Công trình giao thôngThiết kế 2 bướcCấp II</v>
      </c>
      <c r="U263" s="814">
        <f t="shared" si="58"/>
        <v>1.67</v>
      </c>
      <c r="V263" s="541"/>
      <c r="W263" s="541"/>
    </row>
    <row r="264" spans="1:23" ht="15.4" customHeight="1" x14ac:dyDescent="0.25">
      <c r="A264" s="265" t="s">
        <v>840</v>
      </c>
      <c r="B264" s="74" t="s">
        <v>731</v>
      </c>
      <c r="C264" s="99">
        <v>1.48</v>
      </c>
      <c r="D264" s="99">
        <v>1.37</v>
      </c>
      <c r="E264" s="99">
        <v>1.17</v>
      </c>
      <c r="F264" s="99">
        <v>1.06</v>
      </c>
      <c r="G264" s="99">
        <v>0.97</v>
      </c>
      <c r="H264" s="99">
        <v>0.82</v>
      </c>
      <c r="I264" s="99">
        <v>0.7</v>
      </c>
      <c r="J264" s="99">
        <v>0.59</v>
      </c>
      <c r="K264" s="99">
        <v>0.45</v>
      </c>
      <c r="L264" s="99">
        <v>0.33</v>
      </c>
      <c r="M264" s="99">
        <v>0.28999999999999998</v>
      </c>
      <c r="N264" s="584">
        <f t="shared" si="54"/>
        <v>1.48</v>
      </c>
      <c r="O264" s="608">
        <f>IF(O$226=10,C264,HLOOKUP($O$226,$D$226:$M$291,39,TRUE))</f>
        <v>1.48</v>
      </c>
      <c r="P264" s="77">
        <f>IF(P$226=10,C264,HLOOKUP($P$226,$D$226:$M$291,39,TRUE))</f>
        <v>1.48</v>
      </c>
      <c r="Q264" s="541"/>
      <c r="R264" s="541" t="str">
        <f t="shared" si="55"/>
        <v>Công trình giao thông</v>
      </c>
      <c r="S264" s="541" t="str">
        <f t="shared" si="56"/>
        <v>Thiết kế 2 bước</v>
      </c>
      <c r="T264" s="541" t="str">
        <f t="shared" si="57"/>
        <v>Công trình giao thôngThiết kế 2 bướcCấp III</v>
      </c>
      <c r="U264" s="814">
        <f t="shared" si="58"/>
        <v>1.48</v>
      </c>
      <c r="V264" s="541"/>
      <c r="W264" s="541"/>
    </row>
    <row r="265" spans="1:23" ht="15.4" customHeight="1" x14ac:dyDescent="0.25">
      <c r="A265" s="265" t="s">
        <v>1236</v>
      </c>
      <c r="B265" s="74" t="s">
        <v>487</v>
      </c>
      <c r="C265" s="99">
        <v>1.37</v>
      </c>
      <c r="D265" s="99">
        <v>1.26</v>
      </c>
      <c r="E265" s="99">
        <v>1.08</v>
      </c>
      <c r="F265" s="99">
        <v>0.98</v>
      </c>
      <c r="G265" s="99">
        <v>0.83</v>
      </c>
      <c r="H265" s="99">
        <v>0.71</v>
      </c>
      <c r="I265" s="99" t="s">
        <v>352</v>
      </c>
      <c r="J265" s="99" t="s">
        <v>352</v>
      </c>
      <c r="K265" s="99" t="s">
        <v>352</v>
      </c>
      <c r="L265" s="99" t="s">
        <v>352</v>
      </c>
      <c r="M265" s="99" t="s">
        <v>352</v>
      </c>
      <c r="N265" s="584">
        <f t="shared" si="54"/>
        <v>1.37</v>
      </c>
      <c r="O265" s="608">
        <f>IF(O$226=10,C265,HLOOKUP($O$226,$D$226:$M$291,40,TRUE))</f>
        <v>1.37</v>
      </c>
      <c r="P265" s="77">
        <f>IF(P$226=10,C265,HLOOKUP($P$226,$D$226:$M$291,40,TRUE))</f>
        <v>1.37</v>
      </c>
      <c r="Q265" s="541"/>
      <c r="R265" s="541" t="str">
        <f t="shared" si="55"/>
        <v>Công trình giao thông</v>
      </c>
      <c r="S265" s="541" t="str">
        <f t="shared" si="56"/>
        <v>Thiết kế 2 bước</v>
      </c>
      <c r="T265" s="541" t="str">
        <f t="shared" si="57"/>
        <v>Công trình giao thôngThiết kế 2 bướcCấp IV</v>
      </c>
      <c r="U265" s="814">
        <f t="shared" si="58"/>
        <v>1.37</v>
      </c>
      <c r="V265" s="541"/>
      <c r="W265" s="541"/>
    </row>
    <row r="266" spans="1:23" ht="15.4" customHeight="1" x14ac:dyDescent="0.25">
      <c r="A266" s="612">
        <v>4</v>
      </c>
      <c r="B266" s="303" t="str">
        <f>B51</f>
        <v>Công trình nông nghiệp và phát triển nông thôn</v>
      </c>
      <c r="C266" s="871"/>
      <c r="D266" s="871"/>
      <c r="E266" s="871"/>
      <c r="F266" s="871"/>
      <c r="G266" s="871"/>
      <c r="H266" s="871"/>
      <c r="I266" s="871"/>
      <c r="J266" s="871"/>
      <c r="K266" s="871"/>
      <c r="L266" s="871"/>
      <c r="M266" s="238"/>
      <c r="N266" s="56"/>
      <c r="O266" s="445"/>
      <c r="P266" s="445"/>
      <c r="Q266" s="48"/>
      <c r="R266" s="48"/>
      <c r="S266" s="48"/>
      <c r="T266" s="48"/>
      <c r="U266" s="651"/>
      <c r="V266" s="48"/>
      <c r="W266" s="48"/>
    </row>
    <row r="267" spans="1:23" ht="15.4" customHeight="1" x14ac:dyDescent="0.25">
      <c r="A267" s="265" t="s">
        <v>790</v>
      </c>
      <c r="B267" s="1287" t="s">
        <v>249</v>
      </c>
      <c r="C267" s="1288"/>
      <c r="D267" s="1288"/>
      <c r="E267" s="1288"/>
      <c r="F267" s="1288"/>
      <c r="G267" s="1288"/>
      <c r="H267" s="1288"/>
      <c r="I267" s="1288"/>
      <c r="J267" s="1288"/>
      <c r="K267" s="1288"/>
      <c r="L267" s="1288"/>
      <c r="M267" s="1289"/>
      <c r="N267" s="465"/>
      <c r="O267" s="99"/>
      <c r="P267" s="99"/>
      <c r="Q267" s="541"/>
      <c r="R267" s="541"/>
      <c r="S267" s="541"/>
      <c r="T267" s="541"/>
      <c r="U267" s="814"/>
      <c r="V267" s="541"/>
      <c r="W267" s="541"/>
    </row>
    <row r="268" spans="1:23" ht="15.4" customHeight="1" x14ac:dyDescent="0.25">
      <c r="A268" s="265" t="s">
        <v>408</v>
      </c>
      <c r="B268" s="74" t="s">
        <v>37</v>
      </c>
      <c r="C268" s="99">
        <v>2.98</v>
      </c>
      <c r="D268" s="99">
        <v>2.6</v>
      </c>
      <c r="E268" s="99">
        <v>2.2000000000000002</v>
      </c>
      <c r="F268" s="99">
        <v>1.98</v>
      </c>
      <c r="G268" s="99">
        <v>1.83</v>
      </c>
      <c r="H268" s="99">
        <v>1.54</v>
      </c>
      <c r="I268" s="99">
        <v>1.3</v>
      </c>
      <c r="J268" s="99">
        <v>1.1299999999999999</v>
      </c>
      <c r="K268" s="99">
        <v>0.85</v>
      </c>
      <c r="L268" s="99">
        <v>0.66</v>
      </c>
      <c r="M268" s="99">
        <v>0.57999999999999996</v>
      </c>
      <c r="N268" s="584">
        <f t="shared" ref="N268:N272" si="59">IF(P$226=O$226,O268,IF(O268="-",O268,ROUND(O268-((O268-P268)/(P$226-O$226))*(N$226-O$226),3)))</f>
        <v>2.98</v>
      </c>
      <c r="O268" s="608">
        <f>IF(O$226=10,C268,HLOOKUP($O$226,$D$226:$M$291,43,TRUE))</f>
        <v>2.98</v>
      </c>
      <c r="P268" s="77">
        <f>IF(P$226=10,C268,HLOOKUP($P$226,$D$226:$M$291,43,TRUE))</f>
        <v>2.98</v>
      </c>
      <c r="Q268" s="541"/>
      <c r="R268" s="541" t="str">
        <f t="shared" ref="R268:R272" si="60">$B$266</f>
        <v>Công trình nông nghiệp và phát triển nông thôn</v>
      </c>
      <c r="S268" s="541" t="str">
        <f t="shared" ref="S268:S272" si="61">$W$230</f>
        <v>Thiết kế 3 bước</v>
      </c>
      <c r="T268" s="541" t="str">
        <f t="shared" ref="T268:T272" si="62">R268&amp;S268&amp;B268</f>
        <v>Công trình nông nghiệp và phát triển nông thônThiết kế 3 bướcCấp đặc biệt</v>
      </c>
      <c r="U268" s="814">
        <f t="shared" ref="U268:U272" si="63">N268</f>
        <v>2.98</v>
      </c>
      <c r="V268" s="541"/>
      <c r="W268" s="541"/>
    </row>
    <row r="269" spans="1:23" ht="15.4" customHeight="1" x14ac:dyDescent="0.25">
      <c r="A269" s="265" t="s">
        <v>795</v>
      </c>
      <c r="B269" s="74" t="s">
        <v>280</v>
      </c>
      <c r="C269" s="99">
        <v>2.7</v>
      </c>
      <c r="D269" s="99">
        <v>2.36</v>
      </c>
      <c r="E269" s="99">
        <v>1.99</v>
      </c>
      <c r="F269" s="99">
        <v>1.78</v>
      </c>
      <c r="G269" s="99">
        <v>1.66</v>
      </c>
      <c r="H269" s="99">
        <v>1.39</v>
      </c>
      <c r="I269" s="99">
        <v>1.17</v>
      </c>
      <c r="J269" s="99">
        <v>1.02</v>
      </c>
      <c r="K269" s="99">
        <v>0.77</v>
      </c>
      <c r="L269" s="99">
        <v>0.59</v>
      </c>
      <c r="M269" s="99">
        <v>0.52</v>
      </c>
      <c r="N269" s="584">
        <f t="shared" si="59"/>
        <v>2.7</v>
      </c>
      <c r="O269" s="608">
        <f>IF(O$226=10,C269,HLOOKUP($O$226,$D$226:$M$291,44,TRUE))</f>
        <v>2.7</v>
      </c>
      <c r="P269" s="77">
        <f>IF(P$226=10,C269,HLOOKUP($P$226,$D$226:$M$291,44,TRUE))</f>
        <v>2.7</v>
      </c>
      <c r="Q269" s="541"/>
      <c r="R269" s="541" t="str">
        <f t="shared" si="60"/>
        <v>Công trình nông nghiệp và phát triển nông thôn</v>
      </c>
      <c r="S269" s="541" t="str">
        <f t="shared" si="61"/>
        <v>Thiết kế 3 bước</v>
      </c>
      <c r="T269" s="541" t="str">
        <f t="shared" si="62"/>
        <v>Công trình nông nghiệp và phát triển nông thônThiết kế 3 bướcCấp I</v>
      </c>
      <c r="U269" s="814">
        <f t="shared" si="63"/>
        <v>2.7</v>
      </c>
      <c r="V269" s="541"/>
      <c r="W269" s="541"/>
    </row>
    <row r="270" spans="1:23" ht="15.4" customHeight="1" x14ac:dyDescent="0.25">
      <c r="A270" s="265" t="s">
        <v>763</v>
      </c>
      <c r="B270" s="74" t="s">
        <v>1181</v>
      </c>
      <c r="C270" s="99">
        <v>2.48</v>
      </c>
      <c r="D270" s="99">
        <v>2.14</v>
      </c>
      <c r="E270" s="99">
        <v>1.8</v>
      </c>
      <c r="F270" s="99">
        <v>1.61</v>
      </c>
      <c r="G270" s="99">
        <v>1.51</v>
      </c>
      <c r="H270" s="99">
        <v>1.22</v>
      </c>
      <c r="I270" s="99">
        <v>1.05</v>
      </c>
      <c r="J270" s="99">
        <v>0.87</v>
      </c>
      <c r="K270" s="99">
        <v>0.67</v>
      </c>
      <c r="L270" s="99">
        <v>0.49</v>
      </c>
      <c r="M270" s="99">
        <v>0.42</v>
      </c>
      <c r="N270" s="584">
        <f t="shared" si="59"/>
        <v>2.48</v>
      </c>
      <c r="O270" s="608">
        <f>IF(O$226=10,C270,HLOOKUP($O$226,$D$226:$M$291,45,TRUE))</f>
        <v>2.48</v>
      </c>
      <c r="P270" s="77">
        <f>IF(P$226=10,C270,HLOOKUP($P$226,$D$226:$M$291,45,TRUE))</f>
        <v>2.48</v>
      </c>
      <c r="Q270" s="541"/>
      <c r="R270" s="541" t="str">
        <f t="shared" si="60"/>
        <v>Công trình nông nghiệp và phát triển nông thôn</v>
      </c>
      <c r="S270" s="541" t="str">
        <f t="shared" si="61"/>
        <v>Thiết kế 3 bước</v>
      </c>
      <c r="T270" s="541" t="str">
        <f t="shared" si="62"/>
        <v>Công trình nông nghiệp và phát triển nông thônThiết kế 3 bướcCấp II</v>
      </c>
      <c r="U270" s="814">
        <f t="shared" si="63"/>
        <v>2.48</v>
      </c>
      <c r="V270" s="541"/>
      <c r="W270" s="541"/>
    </row>
    <row r="271" spans="1:23" ht="15.4" customHeight="1" x14ac:dyDescent="0.25">
      <c r="A271" s="265" t="s">
        <v>1186</v>
      </c>
      <c r="B271" s="74" t="s">
        <v>731</v>
      </c>
      <c r="C271" s="99">
        <v>2.2000000000000002</v>
      </c>
      <c r="D271" s="99">
        <v>1.9</v>
      </c>
      <c r="E271" s="99">
        <v>1.6</v>
      </c>
      <c r="F271" s="99">
        <v>1.43</v>
      </c>
      <c r="G271" s="99">
        <v>1.24</v>
      </c>
      <c r="H271" s="99">
        <v>1.06</v>
      </c>
      <c r="I271" s="99">
        <v>0.9</v>
      </c>
      <c r="J271" s="99">
        <v>0.77</v>
      </c>
      <c r="K271" s="99">
        <v>0.59</v>
      </c>
      <c r="L271" s="99">
        <v>0.43</v>
      </c>
      <c r="M271" s="99">
        <v>0.37</v>
      </c>
      <c r="N271" s="584">
        <f t="shared" si="59"/>
        <v>2.2000000000000002</v>
      </c>
      <c r="O271" s="608">
        <f>IF(O$226=10,C271,HLOOKUP($O$226,$D$226:$M$291,46,TRUE))</f>
        <v>2.2000000000000002</v>
      </c>
      <c r="P271" s="77">
        <f>IF(P$226=10,C271,HLOOKUP($P$226,$D$226:$M$291,46,TRUE))</f>
        <v>2.2000000000000002</v>
      </c>
      <c r="Q271" s="541"/>
      <c r="R271" s="541" t="str">
        <f t="shared" si="60"/>
        <v>Công trình nông nghiệp và phát triển nông thôn</v>
      </c>
      <c r="S271" s="541" t="str">
        <f t="shared" si="61"/>
        <v>Thiết kế 3 bước</v>
      </c>
      <c r="T271" s="541" t="str">
        <f t="shared" si="62"/>
        <v>Công trình nông nghiệp và phát triển nông thônThiết kế 3 bướcCấp III</v>
      </c>
      <c r="U271" s="814">
        <f t="shared" si="63"/>
        <v>2.2000000000000002</v>
      </c>
      <c r="V271" s="541"/>
      <c r="W271" s="541"/>
    </row>
    <row r="272" spans="1:23" ht="15.4" customHeight="1" x14ac:dyDescent="0.25">
      <c r="A272" s="265" t="s">
        <v>70</v>
      </c>
      <c r="B272" s="74" t="s">
        <v>487</v>
      </c>
      <c r="C272" s="99">
        <v>1.74</v>
      </c>
      <c r="D272" s="99">
        <v>1.52</v>
      </c>
      <c r="E272" s="99">
        <v>1.27</v>
      </c>
      <c r="F272" s="99">
        <v>1.1200000000000001</v>
      </c>
      <c r="G272" s="99">
        <v>1.01</v>
      </c>
      <c r="H272" s="99">
        <v>0.8</v>
      </c>
      <c r="I272" s="99">
        <v>0.64</v>
      </c>
      <c r="J272" s="99" t="s">
        <v>352</v>
      </c>
      <c r="K272" s="99" t="s">
        <v>352</v>
      </c>
      <c r="L272" s="99" t="s">
        <v>352</v>
      </c>
      <c r="M272" s="99" t="s">
        <v>352</v>
      </c>
      <c r="N272" s="584">
        <f t="shared" si="59"/>
        <v>1.74</v>
      </c>
      <c r="O272" s="608">
        <f>IF(O$226=10,C272,HLOOKUP($O$226,$D$226:$M$291,47,TRUE))</f>
        <v>1.74</v>
      </c>
      <c r="P272" s="77">
        <f>IF(P$226=10,C272,HLOOKUP($P$226,$D$226:$M$291,47,TRUE))</f>
        <v>1.74</v>
      </c>
      <c r="Q272" s="541"/>
      <c r="R272" s="541" t="str">
        <f t="shared" si="60"/>
        <v>Công trình nông nghiệp và phát triển nông thôn</v>
      </c>
      <c r="S272" s="541" t="str">
        <f t="shared" si="61"/>
        <v>Thiết kế 3 bước</v>
      </c>
      <c r="T272" s="541" t="str">
        <f t="shared" si="62"/>
        <v>Công trình nông nghiệp và phát triển nông thônThiết kế 3 bướcCấp IV</v>
      </c>
      <c r="U272" s="814">
        <f t="shared" si="63"/>
        <v>1.74</v>
      </c>
      <c r="V272" s="541"/>
      <c r="W272" s="541"/>
    </row>
    <row r="273" spans="1:23" ht="15.4" customHeight="1" x14ac:dyDescent="0.25">
      <c r="A273" s="265" t="s">
        <v>811</v>
      </c>
      <c r="B273" s="1287" t="s">
        <v>457</v>
      </c>
      <c r="C273" s="1288"/>
      <c r="D273" s="1288"/>
      <c r="E273" s="1288"/>
      <c r="F273" s="1288"/>
      <c r="G273" s="1288"/>
      <c r="H273" s="1288"/>
      <c r="I273" s="1288"/>
      <c r="J273" s="1288"/>
      <c r="K273" s="1288"/>
      <c r="L273" s="1288"/>
      <c r="M273" s="1289"/>
      <c r="N273" s="465"/>
      <c r="O273" s="99"/>
      <c r="P273" s="99"/>
      <c r="Q273" s="541"/>
      <c r="R273" s="541"/>
      <c r="S273" s="541"/>
      <c r="T273" s="541"/>
      <c r="U273" s="814"/>
      <c r="V273" s="541"/>
      <c r="W273" s="541"/>
    </row>
    <row r="274" spans="1:23" ht="15.4" customHeight="1" x14ac:dyDescent="0.25">
      <c r="A274" s="265" t="s">
        <v>191</v>
      </c>
      <c r="B274" s="74" t="s">
        <v>37</v>
      </c>
      <c r="C274" s="99">
        <v>4.29</v>
      </c>
      <c r="D274" s="99">
        <v>3.75</v>
      </c>
      <c r="E274" s="99">
        <v>3.17</v>
      </c>
      <c r="F274" s="99">
        <v>2.85</v>
      </c>
      <c r="G274" s="99">
        <v>2.6</v>
      </c>
      <c r="H274" s="99">
        <v>2.21</v>
      </c>
      <c r="I274" s="99">
        <v>1.87</v>
      </c>
      <c r="J274" s="99">
        <v>1.58</v>
      </c>
      <c r="K274" s="99">
        <v>1.22</v>
      </c>
      <c r="L274" s="99">
        <v>0.95</v>
      </c>
      <c r="M274" s="99">
        <v>0.83</v>
      </c>
      <c r="N274" s="584">
        <f t="shared" ref="N274:N278" si="64">IF(P$226=O$226,O274,IF(O274="-",O274,ROUND(O274-((O274-P274)/(P$226-O$226))*(N$226-O$226),3)))</f>
        <v>4.29</v>
      </c>
      <c r="O274" s="608">
        <f>IF(O$226=10,C274,HLOOKUP($O$226,$D$226:$M$291,49,TRUE))</f>
        <v>4.29</v>
      </c>
      <c r="P274" s="77">
        <f>IF(P$226=10,C274,HLOOKUP($P$226,$D$226:$M$291,49,TRUE))</f>
        <v>4.29</v>
      </c>
      <c r="Q274" s="541"/>
      <c r="R274" s="541" t="str">
        <f t="shared" ref="R274:R278" si="65">$B$266</f>
        <v>Công trình nông nghiệp và phát triển nông thôn</v>
      </c>
      <c r="S274" s="541" t="str">
        <f t="shared" ref="S274:S278" si="66">$W$229</f>
        <v>Thiết kế 2 bước</v>
      </c>
      <c r="T274" s="541" t="str">
        <f t="shared" ref="T274:T278" si="67">R274&amp;S274&amp;B274</f>
        <v>Công trình nông nghiệp và phát triển nông thônThiết kế 2 bướcCấp đặc biệt</v>
      </c>
      <c r="U274" s="814">
        <f t="shared" ref="U274:U278" si="68">N274</f>
        <v>4.29</v>
      </c>
      <c r="V274" s="541"/>
      <c r="W274" s="541"/>
    </row>
    <row r="275" spans="1:23" ht="15.4" customHeight="1" x14ac:dyDescent="0.25">
      <c r="A275" s="265" t="s">
        <v>564</v>
      </c>
      <c r="B275" s="74" t="s">
        <v>280</v>
      </c>
      <c r="C275" s="99">
        <v>3.89</v>
      </c>
      <c r="D275" s="99">
        <v>3.4</v>
      </c>
      <c r="E275" s="99">
        <v>2.87</v>
      </c>
      <c r="F275" s="99">
        <v>2.57</v>
      </c>
      <c r="G275" s="99">
        <v>2.36</v>
      </c>
      <c r="H275" s="99">
        <v>2</v>
      </c>
      <c r="I275" s="99">
        <v>1.69</v>
      </c>
      <c r="J275" s="99">
        <v>1.43</v>
      </c>
      <c r="K275" s="99">
        <v>1.1000000000000001</v>
      </c>
      <c r="L275" s="99">
        <v>0.85</v>
      </c>
      <c r="M275" s="99">
        <v>0.74</v>
      </c>
      <c r="N275" s="584">
        <f t="shared" si="64"/>
        <v>3.89</v>
      </c>
      <c r="O275" s="608">
        <f>IF(O$226=10,C275,HLOOKUP($O$226,$D$226:$M$291,50,TRUE))</f>
        <v>3.89</v>
      </c>
      <c r="P275" s="77">
        <f>IF(P$226=10,C275,HLOOKUP($P$226,$D$226:$M$291,50,TRUE))</f>
        <v>3.89</v>
      </c>
      <c r="Q275" s="541"/>
      <c r="R275" s="541" t="str">
        <f t="shared" si="65"/>
        <v>Công trình nông nghiệp và phát triển nông thôn</v>
      </c>
      <c r="S275" s="541" t="str">
        <f t="shared" si="66"/>
        <v>Thiết kế 2 bước</v>
      </c>
      <c r="T275" s="541" t="str">
        <f t="shared" si="67"/>
        <v>Công trình nông nghiệp và phát triển nông thônThiết kế 2 bướcCấp I</v>
      </c>
      <c r="U275" s="814">
        <f t="shared" si="68"/>
        <v>3.89</v>
      </c>
      <c r="V275" s="541"/>
      <c r="W275" s="541"/>
    </row>
    <row r="276" spans="1:23" ht="15.4" customHeight="1" x14ac:dyDescent="0.25">
      <c r="A276" s="265" t="s">
        <v>977</v>
      </c>
      <c r="B276" s="74" t="s">
        <v>1181</v>
      </c>
      <c r="C276" s="99">
        <v>3.53</v>
      </c>
      <c r="D276" s="99">
        <v>3.11</v>
      </c>
      <c r="E276" s="99">
        <v>2.62</v>
      </c>
      <c r="F276" s="99">
        <v>2.34</v>
      </c>
      <c r="G276" s="99">
        <v>2.15</v>
      </c>
      <c r="H276" s="99">
        <v>1.73</v>
      </c>
      <c r="I276" s="99">
        <v>1.48</v>
      </c>
      <c r="J276" s="99">
        <v>1.25</v>
      </c>
      <c r="K276" s="99">
        <v>0.96</v>
      </c>
      <c r="L276" s="99">
        <v>0.69</v>
      </c>
      <c r="M276" s="99">
        <v>0.57999999999999996</v>
      </c>
      <c r="N276" s="584">
        <f t="shared" si="64"/>
        <v>3.53</v>
      </c>
      <c r="O276" s="608">
        <f>IF(O$226=10,C276,HLOOKUP($O$226,$D$226:$M$291,51,TRUE))</f>
        <v>3.53</v>
      </c>
      <c r="P276" s="77">
        <f>IF(P$226=10,C276,HLOOKUP($P$226,$D$226:$M$291,51,TRUE))</f>
        <v>3.53</v>
      </c>
      <c r="Q276" s="541"/>
      <c r="R276" s="541" t="str">
        <f t="shared" si="65"/>
        <v>Công trình nông nghiệp và phát triển nông thôn</v>
      </c>
      <c r="S276" s="541" t="str">
        <f t="shared" si="66"/>
        <v>Thiết kế 2 bước</v>
      </c>
      <c r="T276" s="541" t="str">
        <f t="shared" si="67"/>
        <v>Công trình nông nghiệp và phát triển nông thônThiết kế 2 bướcCấp II</v>
      </c>
      <c r="U276" s="814">
        <f t="shared" si="68"/>
        <v>3.53</v>
      </c>
      <c r="V276" s="541"/>
      <c r="W276" s="541"/>
    </row>
    <row r="277" spans="1:23" ht="15.4" customHeight="1" x14ac:dyDescent="0.25">
      <c r="A277" s="265" t="s">
        <v>1361</v>
      </c>
      <c r="B277" s="74" t="s">
        <v>731</v>
      </c>
      <c r="C277" s="99">
        <v>3.13</v>
      </c>
      <c r="D277" s="99">
        <v>2.76</v>
      </c>
      <c r="E277" s="99">
        <v>2.31</v>
      </c>
      <c r="F277" s="99">
        <v>2.0699999999999998</v>
      </c>
      <c r="G277" s="99">
        <v>1.79</v>
      </c>
      <c r="H277" s="99">
        <v>1.52</v>
      </c>
      <c r="I277" s="99">
        <v>1.29</v>
      </c>
      <c r="J277" s="99">
        <v>1.1000000000000001</v>
      </c>
      <c r="K277" s="99">
        <v>0.83</v>
      </c>
      <c r="L277" s="99">
        <v>0.6</v>
      </c>
      <c r="M277" s="99">
        <v>0.51</v>
      </c>
      <c r="N277" s="584">
        <f t="shared" si="64"/>
        <v>3.13</v>
      </c>
      <c r="O277" s="608">
        <f>IF(O$226=10,C277,HLOOKUP($O$226,$D$226:$M$291,52,TRUE))</f>
        <v>3.13</v>
      </c>
      <c r="P277" s="77">
        <f>IF(P$226=10,C277,HLOOKUP($P$226,$D$226:$M$291,52,TRUE))</f>
        <v>3.13</v>
      </c>
      <c r="Q277" s="541"/>
      <c r="R277" s="541" t="str">
        <f t="shared" si="65"/>
        <v>Công trình nông nghiệp và phát triển nông thôn</v>
      </c>
      <c r="S277" s="541" t="str">
        <f t="shared" si="66"/>
        <v>Thiết kế 2 bước</v>
      </c>
      <c r="T277" s="541" t="str">
        <f t="shared" si="67"/>
        <v>Công trình nông nghiệp và phát triển nông thônThiết kế 2 bướcCấp III</v>
      </c>
      <c r="U277" s="814">
        <f t="shared" si="68"/>
        <v>3.13</v>
      </c>
      <c r="V277" s="541"/>
      <c r="W277" s="541"/>
    </row>
    <row r="278" spans="1:23" ht="15.4" customHeight="1" x14ac:dyDescent="0.25">
      <c r="A278" s="265" t="s">
        <v>1333</v>
      </c>
      <c r="B278" s="74" t="s">
        <v>487</v>
      </c>
      <c r="C278" s="99">
        <v>2.48</v>
      </c>
      <c r="D278" s="99">
        <v>2.19</v>
      </c>
      <c r="E278" s="99">
        <v>1.82</v>
      </c>
      <c r="F278" s="99">
        <v>1.61</v>
      </c>
      <c r="G278" s="99">
        <v>1.41</v>
      </c>
      <c r="H278" s="99">
        <v>1.1399999999999999</v>
      </c>
      <c r="I278" s="99" t="s">
        <v>352</v>
      </c>
      <c r="J278" s="99" t="s">
        <v>352</v>
      </c>
      <c r="K278" s="99" t="s">
        <v>352</v>
      </c>
      <c r="L278" s="99" t="s">
        <v>352</v>
      </c>
      <c r="M278" s="99" t="s">
        <v>352</v>
      </c>
      <c r="N278" s="584">
        <f t="shared" si="64"/>
        <v>2.48</v>
      </c>
      <c r="O278" s="608">
        <f>IF(O$226=10,C278,HLOOKUP($O$226,$D$226:$M$291,53,TRUE))</f>
        <v>2.48</v>
      </c>
      <c r="P278" s="77">
        <f>IF(P$226=10,C278,HLOOKUP($P$226,$D$226:$M$291,53,TRUE))</f>
        <v>2.48</v>
      </c>
      <c r="Q278" s="541"/>
      <c r="R278" s="541" t="str">
        <f t="shared" si="65"/>
        <v>Công trình nông nghiệp và phát triển nông thôn</v>
      </c>
      <c r="S278" s="541" t="str">
        <f t="shared" si="66"/>
        <v>Thiết kế 2 bước</v>
      </c>
      <c r="T278" s="541" t="str">
        <f t="shared" si="67"/>
        <v>Công trình nông nghiệp và phát triển nông thônThiết kế 2 bướcCấp IV</v>
      </c>
      <c r="U278" s="814">
        <f t="shared" si="68"/>
        <v>2.48</v>
      </c>
      <c r="V278" s="541"/>
      <c r="W278" s="541"/>
    </row>
    <row r="279" spans="1:23" ht="15.4" customHeight="1" x14ac:dyDescent="0.25">
      <c r="A279" s="612">
        <v>5</v>
      </c>
      <c r="B279" s="303" t="str">
        <f>B52</f>
        <v>Công trình hạ tầng kỹ thuật</v>
      </c>
      <c r="C279" s="871"/>
      <c r="D279" s="871"/>
      <c r="E279" s="871"/>
      <c r="F279" s="871"/>
      <c r="G279" s="871"/>
      <c r="H279" s="871"/>
      <c r="I279" s="871"/>
      <c r="J279" s="871"/>
      <c r="K279" s="871"/>
      <c r="L279" s="871"/>
      <c r="M279" s="238"/>
      <c r="N279" s="56"/>
      <c r="O279" s="445"/>
      <c r="P279" s="445"/>
      <c r="Q279" s="48"/>
      <c r="R279" s="48"/>
      <c r="S279" s="48"/>
      <c r="T279" s="48"/>
      <c r="U279" s="651"/>
      <c r="V279" s="48"/>
      <c r="W279" s="48"/>
    </row>
    <row r="280" spans="1:23" ht="15.4" customHeight="1" x14ac:dyDescent="0.25">
      <c r="A280" s="612" t="s">
        <v>1043</v>
      </c>
      <c r="B280" s="1292" t="s">
        <v>249</v>
      </c>
      <c r="C280" s="1293"/>
      <c r="D280" s="1293"/>
      <c r="E280" s="1293"/>
      <c r="F280" s="1293"/>
      <c r="G280" s="1293"/>
      <c r="H280" s="1293"/>
      <c r="I280" s="1293"/>
      <c r="J280" s="1293"/>
      <c r="K280" s="1293"/>
      <c r="L280" s="1293"/>
      <c r="M280" s="1294"/>
      <c r="N280" s="56"/>
      <c r="O280" s="445"/>
      <c r="P280" s="445"/>
      <c r="Q280" s="48"/>
      <c r="R280" s="48"/>
      <c r="S280" s="48"/>
      <c r="T280" s="48"/>
      <c r="U280" s="651"/>
      <c r="V280" s="48"/>
      <c r="W280" s="48"/>
    </row>
    <row r="281" spans="1:23" ht="15.4" customHeight="1" x14ac:dyDescent="0.25">
      <c r="A281" s="265" t="s">
        <v>501</v>
      </c>
      <c r="B281" s="74" t="s">
        <v>37</v>
      </c>
      <c r="C281" s="99">
        <v>2.2200000000000002</v>
      </c>
      <c r="D281" s="99">
        <v>1.94</v>
      </c>
      <c r="E281" s="99">
        <v>1.63</v>
      </c>
      <c r="F281" s="99">
        <v>1.48</v>
      </c>
      <c r="G281" s="99">
        <v>1.36</v>
      </c>
      <c r="H281" s="99">
        <v>1.1399999999999999</v>
      </c>
      <c r="I281" s="99">
        <v>0.97</v>
      </c>
      <c r="J281" s="99">
        <v>0.83</v>
      </c>
      <c r="K281" s="99">
        <v>0.61</v>
      </c>
      <c r="L281" s="99">
        <v>0.48</v>
      </c>
      <c r="M281" s="99">
        <v>0.43</v>
      </c>
      <c r="N281" s="584">
        <f t="shared" ref="N281:N285" si="69">IF(P$226=O$226,O281,IF(O281="-",O281,ROUND(O281-((O281-P281)/(P$226-O$226))*(N$226-O$226),3)))</f>
        <v>2.2200000000000002</v>
      </c>
      <c r="O281" s="608">
        <f>IF(O$226=10,C281,HLOOKUP($O$226,$D$226:$M$291,56,TRUE))</f>
        <v>2.2200000000000002</v>
      </c>
      <c r="P281" s="77">
        <f>IF(P$226=10,C281,HLOOKUP($P$226,$D$226:$M$291,56,TRUE))</f>
        <v>2.2200000000000002</v>
      </c>
      <c r="Q281" s="541"/>
      <c r="R281" s="541" t="str">
        <f t="shared" ref="R281:R285" si="70">$B$279</f>
        <v>Công trình hạ tầng kỹ thuật</v>
      </c>
      <c r="S281" s="541" t="str">
        <f t="shared" ref="S281:S285" si="71">$W$230</f>
        <v>Thiết kế 3 bước</v>
      </c>
      <c r="T281" s="541" t="str">
        <f t="shared" ref="T281:T285" si="72">R281&amp;S281&amp;B281</f>
        <v>Công trình hạ tầng kỹ thuậtThiết kế 3 bướcCấp đặc biệt</v>
      </c>
      <c r="U281" s="814">
        <f t="shared" ref="U281:U285" si="73">N281</f>
        <v>2.2200000000000002</v>
      </c>
      <c r="V281" s="541"/>
      <c r="W281" s="541"/>
    </row>
    <row r="282" spans="1:23" ht="15.4" customHeight="1" x14ac:dyDescent="0.25">
      <c r="A282" s="265" t="s">
        <v>923</v>
      </c>
      <c r="B282" s="74" t="s">
        <v>280</v>
      </c>
      <c r="C282" s="99">
        <v>2.09</v>
      </c>
      <c r="D282" s="99">
        <v>1.83</v>
      </c>
      <c r="E282" s="99">
        <v>1.53</v>
      </c>
      <c r="F282" s="99">
        <v>1.38</v>
      </c>
      <c r="G282" s="99">
        <v>1.28</v>
      </c>
      <c r="H282" s="99">
        <v>1.04</v>
      </c>
      <c r="I282" s="99">
        <v>0.9</v>
      </c>
      <c r="J282" s="99">
        <v>0.75</v>
      </c>
      <c r="K282" s="99">
        <v>0.53</v>
      </c>
      <c r="L282" s="99">
        <v>0.39</v>
      </c>
      <c r="M282" s="99">
        <v>0.33</v>
      </c>
      <c r="N282" s="584">
        <f t="shared" si="69"/>
        <v>2.09</v>
      </c>
      <c r="O282" s="608">
        <f>IF(O$226=10,C282,HLOOKUP($O$226,$D$226:$M$291,57,TRUE))</f>
        <v>2.09</v>
      </c>
      <c r="P282" s="77">
        <f>IF(P$226=10,C282,HLOOKUP($P$226,$D$226:$M$291,57,TRUE))</f>
        <v>2.09</v>
      </c>
      <c r="Q282" s="541"/>
      <c r="R282" s="541" t="str">
        <f t="shared" si="70"/>
        <v>Công trình hạ tầng kỹ thuật</v>
      </c>
      <c r="S282" s="541" t="str">
        <f t="shared" si="71"/>
        <v>Thiết kế 3 bước</v>
      </c>
      <c r="T282" s="541" t="str">
        <f t="shared" si="72"/>
        <v>Công trình hạ tầng kỹ thuậtThiết kế 3 bướcCấp I</v>
      </c>
      <c r="U282" s="814">
        <f t="shared" si="73"/>
        <v>2.09</v>
      </c>
      <c r="V282" s="541"/>
      <c r="W282" s="541"/>
    </row>
    <row r="283" spans="1:23" ht="15.4" customHeight="1" x14ac:dyDescent="0.25">
      <c r="A283" s="265" t="s">
        <v>895</v>
      </c>
      <c r="B283" s="74" t="s">
        <v>1181</v>
      </c>
      <c r="C283" s="99">
        <v>1.86</v>
      </c>
      <c r="D283" s="99">
        <v>1.62</v>
      </c>
      <c r="E283" s="99">
        <v>1.36</v>
      </c>
      <c r="F283" s="99">
        <v>1.22</v>
      </c>
      <c r="G283" s="99">
        <v>1.1299999999999999</v>
      </c>
      <c r="H283" s="99">
        <v>0.91</v>
      </c>
      <c r="I283" s="99">
        <v>0.78</v>
      </c>
      <c r="J283" s="99">
        <v>0.66</v>
      </c>
      <c r="K283" s="99">
        <v>0.47</v>
      </c>
      <c r="L283" s="99">
        <v>0.34</v>
      </c>
      <c r="M283" s="99">
        <v>0.28999999999999998</v>
      </c>
      <c r="N283" s="584">
        <f t="shared" si="69"/>
        <v>1.86</v>
      </c>
      <c r="O283" s="608">
        <f>IF(O$226=10,C283,HLOOKUP($O$226,$D$226:$M$291,58,TRUE))</f>
        <v>1.86</v>
      </c>
      <c r="P283" s="77">
        <f>IF(P$226=10,C283,HLOOKUP($P$226,$D$226:$M$291,58,TRUE))</f>
        <v>1.86</v>
      </c>
      <c r="Q283" s="541"/>
      <c r="R283" s="541" t="str">
        <f t="shared" si="70"/>
        <v>Công trình hạ tầng kỹ thuật</v>
      </c>
      <c r="S283" s="541" t="str">
        <f t="shared" si="71"/>
        <v>Thiết kế 3 bước</v>
      </c>
      <c r="T283" s="541" t="str">
        <f t="shared" si="72"/>
        <v>Công trình hạ tầng kỹ thuậtThiết kế 3 bướcCấp II</v>
      </c>
      <c r="U283" s="814">
        <f t="shared" si="73"/>
        <v>1.86</v>
      </c>
      <c r="V283" s="541"/>
      <c r="W283" s="541"/>
    </row>
    <row r="284" spans="1:23" ht="15.4" customHeight="1" x14ac:dyDescent="0.25">
      <c r="A284" s="265" t="s">
        <v>1279</v>
      </c>
      <c r="B284" s="74" t="s">
        <v>731</v>
      </c>
      <c r="C284" s="99">
        <v>1.62</v>
      </c>
      <c r="D284" s="99">
        <v>1.39</v>
      </c>
      <c r="E284" s="99">
        <v>1.19</v>
      </c>
      <c r="F284" s="99">
        <v>1.07</v>
      </c>
      <c r="G284" s="99">
        <v>0.97</v>
      </c>
      <c r="H284" s="99">
        <v>0.8</v>
      </c>
      <c r="I284" s="99">
        <v>0.7</v>
      </c>
      <c r="J284" s="99">
        <v>0.56000000000000005</v>
      </c>
      <c r="K284" s="99">
        <v>0.41</v>
      </c>
      <c r="L284" s="99">
        <v>0.28999999999999998</v>
      </c>
      <c r="M284" s="99">
        <v>0.25</v>
      </c>
      <c r="N284" s="584">
        <f t="shared" si="69"/>
        <v>1.62</v>
      </c>
      <c r="O284" s="608">
        <f>IF(O$226=10,C284,HLOOKUP($O$226,$D$226:$M$291,59,TRUE))</f>
        <v>1.62</v>
      </c>
      <c r="P284" s="77">
        <f>IF(P$226=10,C284,HLOOKUP($P$226,$D$226:$M$291,59,TRUE))</f>
        <v>1.62</v>
      </c>
      <c r="Q284" s="541"/>
      <c r="R284" s="541" t="str">
        <f t="shared" si="70"/>
        <v>Công trình hạ tầng kỹ thuật</v>
      </c>
      <c r="S284" s="541" t="str">
        <f t="shared" si="71"/>
        <v>Thiết kế 3 bước</v>
      </c>
      <c r="T284" s="541" t="str">
        <f t="shared" si="72"/>
        <v>Công trình hạ tầng kỹ thuậtThiết kế 3 bướcCấp III</v>
      </c>
      <c r="U284" s="814">
        <f t="shared" si="73"/>
        <v>1.62</v>
      </c>
      <c r="V284" s="541"/>
      <c r="W284" s="541"/>
    </row>
    <row r="285" spans="1:23" ht="15.4" customHeight="1" x14ac:dyDescent="0.25">
      <c r="A285" s="265" t="s">
        <v>173</v>
      </c>
      <c r="B285" s="74" t="s">
        <v>487</v>
      </c>
      <c r="C285" s="99">
        <v>1.45</v>
      </c>
      <c r="D285" s="99">
        <v>1.23</v>
      </c>
      <c r="E285" s="99">
        <v>1.01</v>
      </c>
      <c r="F285" s="99">
        <v>0.92</v>
      </c>
      <c r="G285" s="99">
        <v>0.8</v>
      </c>
      <c r="H285" s="99">
        <v>0.7</v>
      </c>
      <c r="I285" s="99">
        <v>0.57999999999999996</v>
      </c>
      <c r="J285" s="99" t="s">
        <v>352</v>
      </c>
      <c r="K285" s="99" t="s">
        <v>352</v>
      </c>
      <c r="L285" s="99" t="s">
        <v>352</v>
      </c>
      <c r="M285" s="99" t="s">
        <v>352</v>
      </c>
      <c r="N285" s="584">
        <f t="shared" si="69"/>
        <v>1.45</v>
      </c>
      <c r="O285" s="608">
        <f>IF(O$226=10,C285,HLOOKUP($O$226,$D$226:$M$291,60,TRUE))</f>
        <v>1.45</v>
      </c>
      <c r="P285" s="77">
        <f>IF(P$226=10,C285,HLOOKUP($P$226,$D$226:$M$291,60,TRUE))</f>
        <v>1.45</v>
      </c>
      <c r="Q285" s="541"/>
      <c r="R285" s="541" t="str">
        <f t="shared" si="70"/>
        <v>Công trình hạ tầng kỹ thuật</v>
      </c>
      <c r="S285" s="541" t="str">
        <f t="shared" si="71"/>
        <v>Thiết kế 3 bước</v>
      </c>
      <c r="T285" s="541" t="str">
        <f t="shared" si="72"/>
        <v>Công trình hạ tầng kỹ thuậtThiết kế 3 bướcCấp IV</v>
      </c>
      <c r="U285" s="814">
        <f t="shared" si="73"/>
        <v>1.45</v>
      </c>
      <c r="V285" s="541"/>
      <c r="W285" s="541"/>
    </row>
    <row r="286" spans="1:23" ht="15.4" customHeight="1" x14ac:dyDescent="0.25">
      <c r="A286" s="265" t="s">
        <v>609</v>
      </c>
      <c r="B286" s="1287" t="s">
        <v>457</v>
      </c>
      <c r="C286" s="1288"/>
      <c r="D286" s="1288"/>
      <c r="E286" s="1288"/>
      <c r="F286" s="1288"/>
      <c r="G286" s="1288"/>
      <c r="H286" s="1288"/>
      <c r="I286" s="1288"/>
      <c r="J286" s="1288"/>
      <c r="K286" s="1288"/>
      <c r="L286" s="1288"/>
      <c r="M286" s="1289"/>
      <c r="N286" s="465"/>
      <c r="O286" s="99"/>
      <c r="P286" s="99"/>
      <c r="Q286" s="541"/>
      <c r="R286" s="541"/>
      <c r="S286" s="541"/>
      <c r="T286" s="541"/>
      <c r="U286" s="814"/>
      <c r="V286" s="541"/>
      <c r="W286" s="541"/>
    </row>
    <row r="287" spans="1:23" ht="15.4" customHeight="1" x14ac:dyDescent="0.25">
      <c r="A287" s="265" t="s">
        <v>307</v>
      </c>
      <c r="B287" s="74" t="s">
        <v>37</v>
      </c>
      <c r="C287" s="99">
        <v>3.23</v>
      </c>
      <c r="D287" s="99">
        <v>2.79</v>
      </c>
      <c r="E287" s="99">
        <v>2.35</v>
      </c>
      <c r="F287" s="99">
        <v>2.13</v>
      </c>
      <c r="G287" s="99">
        <v>1.95</v>
      </c>
      <c r="H287" s="99">
        <v>1.64</v>
      </c>
      <c r="I287" s="99">
        <v>1.39</v>
      </c>
      <c r="J287" s="99">
        <v>1.19</v>
      </c>
      <c r="K287" s="99">
        <v>0.9</v>
      </c>
      <c r="L287" s="99">
        <v>0.7</v>
      </c>
      <c r="M287" s="99">
        <v>0.63</v>
      </c>
      <c r="N287" s="584">
        <f t="shared" ref="N287:N291" si="74">IF(P$226=O$226,O287,IF(O287="-",O287,ROUND(O287-((O287-P287)/(P$226-O$226))*(N$226-O$226),3)))</f>
        <v>3.23</v>
      </c>
      <c r="O287" s="608">
        <f>IF(O$226=10,C287,HLOOKUP($O$226,$D$226:$M$291,62,TRUE))</f>
        <v>3.23</v>
      </c>
      <c r="P287" s="77">
        <f>IF(P$226=10,C287,HLOOKUP($P$226,$D$226:$M$291,62,TRUE))</f>
        <v>3.23</v>
      </c>
      <c r="Q287" s="541"/>
      <c r="R287" s="541" t="str">
        <f t="shared" ref="R287:R291" si="75">$B$279</f>
        <v>Công trình hạ tầng kỹ thuật</v>
      </c>
      <c r="S287" s="541" t="str">
        <f t="shared" ref="S287:S291" si="76">$W$229</f>
        <v>Thiết kế 2 bước</v>
      </c>
      <c r="T287" s="541" t="str">
        <f t="shared" ref="T287:T291" si="77">R287&amp;S287&amp;B287</f>
        <v>Công trình hạ tầng kỹ thuậtThiết kế 2 bướcCấp đặc biệt</v>
      </c>
      <c r="U287" s="814">
        <f t="shared" ref="U287:U291" si="78">N287</f>
        <v>3.23</v>
      </c>
      <c r="V287" s="541"/>
      <c r="W287" s="541"/>
    </row>
    <row r="288" spans="1:23" ht="15.4" customHeight="1" x14ac:dyDescent="0.25">
      <c r="A288" s="265" t="s">
        <v>689</v>
      </c>
      <c r="B288" s="74" t="s">
        <v>280</v>
      </c>
      <c r="C288" s="99">
        <v>3.01</v>
      </c>
      <c r="D288" s="99">
        <v>2.63</v>
      </c>
      <c r="E288" s="99">
        <v>2.21</v>
      </c>
      <c r="F288" s="99">
        <v>1.99</v>
      </c>
      <c r="G288" s="99">
        <v>1.82</v>
      </c>
      <c r="H288" s="99">
        <v>1.49</v>
      </c>
      <c r="I288" s="99">
        <v>1.28</v>
      </c>
      <c r="J288" s="99">
        <v>1.07</v>
      </c>
      <c r="K288" s="99">
        <v>0.79</v>
      </c>
      <c r="L288" s="99">
        <v>0.57999999999999996</v>
      </c>
      <c r="M288" s="99">
        <v>0.49</v>
      </c>
      <c r="N288" s="584">
        <f t="shared" si="74"/>
        <v>3.01</v>
      </c>
      <c r="O288" s="608">
        <f>IF(O$226=10,C288,HLOOKUP($O$226,$D$226:$M$291,63,TRUE))</f>
        <v>3.01</v>
      </c>
      <c r="P288" s="77">
        <f>IF(P$226=10,C288,HLOOKUP($P$226,$D$226:$M$291,63,TRUE))</f>
        <v>3.01</v>
      </c>
      <c r="Q288" s="541"/>
      <c r="R288" s="541" t="str">
        <f t="shared" si="75"/>
        <v>Công trình hạ tầng kỹ thuật</v>
      </c>
      <c r="S288" s="541" t="str">
        <f t="shared" si="76"/>
        <v>Thiết kế 2 bước</v>
      </c>
      <c r="T288" s="541" t="str">
        <f t="shared" si="77"/>
        <v>Công trình hạ tầng kỹ thuậtThiết kế 2 bướcCấp I</v>
      </c>
      <c r="U288" s="814">
        <f t="shared" si="78"/>
        <v>3.01</v>
      </c>
      <c r="V288" s="541"/>
      <c r="W288" s="541"/>
    </row>
    <row r="289" spans="1:23" ht="15.4" customHeight="1" x14ac:dyDescent="0.25">
      <c r="A289" s="265" t="s">
        <v>1107</v>
      </c>
      <c r="B289" s="74" t="s">
        <v>1181</v>
      </c>
      <c r="C289" s="99">
        <v>2.68</v>
      </c>
      <c r="D289" s="99">
        <v>2.33</v>
      </c>
      <c r="E289" s="99">
        <v>1.97</v>
      </c>
      <c r="F289" s="99">
        <v>1.77</v>
      </c>
      <c r="G289" s="99">
        <v>1.58</v>
      </c>
      <c r="H289" s="99">
        <v>1.32</v>
      </c>
      <c r="I289" s="99">
        <v>1.1399999999999999</v>
      </c>
      <c r="J289" s="99">
        <v>0.92</v>
      </c>
      <c r="K289" s="99">
        <v>0.7</v>
      </c>
      <c r="L289" s="99">
        <v>0.51</v>
      </c>
      <c r="M289" s="99">
        <v>0.43</v>
      </c>
      <c r="N289" s="584">
        <f t="shared" si="74"/>
        <v>2.68</v>
      </c>
      <c r="O289" s="608">
        <f>IF(O$226=10,C289,HLOOKUP($O$226,$D$226:$M$291,64,TRUE))</f>
        <v>2.68</v>
      </c>
      <c r="P289" s="77">
        <f>IF(P$226=10,C289,HLOOKUP($P$226,$D$226:$M$291,64,TRUE))</f>
        <v>2.68</v>
      </c>
      <c r="Q289" s="541"/>
      <c r="R289" s="541" t="str">
        <f t="shared" si="75"/>
        <v>Công trình hạ tầng kỹ thuật</v>
      </c>
      <c r="S289" s="541" t="str">
        <f t="shared" si="76"/>
        <v>Thiết kế 2 bước</v>
      </c>
      <c r="T289" s="541" t="str">
        <f t="shared" si="77"/>
        <v>Công trình hạ tầng kỹ thuậtThiết kế 2 bướcCấp II</v>
      </c>
      <c r="U289" s="814">
        <f t="shared" si="78"/>
        <v>2.68</v>
      </c>
      <c r="V289" s="541"/>
      <c r="W289" s="541"/>
    </row>
    <row r="290" spans="1:23" ht="15.4" customHeight="1" x14ac:dyDescent="0.25">
      <c r="A290" s="265" t="s">
        <v>1471</v>
      </c>
      <c r="B290" s="74" t="s">
        <v>731</v>
      </c>
      <c r="C290" s="99">
        <v>2.36</v>
      </c>
      <c r="D290" s="99">
        <v>2.0099999999999998</v>
      </c>
      <c r="E290" s="99">
        <v>1.72</v>
      </c>
      <c r="F290" s="99">
        <v>1.55</v>
      </c>
      <c r="G290" s="99">
        <v>1.39</v>
      </c>
      <c r="H290" s="99">
        <v>1.1599999999999999</v>
      </c>
      <c r="I290" s="99">
        <v>1.02</v>
      </c>
      <c r="J290" s="99">
        <v>0.81</v>
      </c>
      <c r="K290" s="99">
        <v>0.61</v>
      </c>
      <c r="L290" s="99">
        <v>0.44</v>
      </c>
      <c r="M290" s="99">
        <v>0.36</v>
      </c>
      <c r="N290" s="584">
        <f t="shared" si="74"/>
        <v>2.36</v>
      </c>
      <c r="O290" s="608">
        <f>IF(O$226=10,C290,HLOOKUP($O$226,$D$226:$M$291,65,TRUE))</f>
        <v>2.36</v>
      </c>
      <c r="P290" s="77">
        <f>IF(P$226=10,C290,HLOOKUP($P$226,$D$226:$M$291,65,TRUE))</f>
        <v>2.36</v>
      </c>
      <c r="Q290" s="541"/>
      <c r="R290" s="541" t="str">
        <f t="shared" si="75"/>
        <v>Công trình hạ tầng kỹ thuật</v>
      </c>
      <c r="S290" s="541" t="str">
        <f t="shared" si="76"/>
        <v>Thiết kế 2 bước</v>
      </c>
      <c r="T290" s="541" t="str">
        <f t="shared" si="77"/>
        <v>Công trình hạ tầng kỹ thuậtThiết kế 2 bướcCấp III</v>
      </c>
      <c r="U290" s="814">
        <f t="shared" si="78"/>
        <v>2.36</v>
      </c>
      <c r="V290" s="541"/>
      <c r="W290" s="541"/>
    </row>
    <row r="291" spans="1:23" ht="15.4" customHeight="1" x14ac:dyDescent="0.25">
      <c r="A291" s="265" t="s">
        <v>1447</v>
      </c>
      <c r="B291" s="74" t="s">
        <v>487</v>
      </c>
      <c r="C291" s="99">
        <v>2.0699999999999998</v>
      </c>
      <c r="D291" s="99">
        <v>1.76</v>
      </c>
      <c r="E291" s="99">
        <v>1.49</v>
      </c>
      <c r="F291" s="99">
        <v>1.35</v>
      </c>
      <c r="G291" s="99">
        <v>1.1499999999999999</v>
      </c>
      <c r="H291" s="99">
        <v>0.98</v>
      </c>
      <c r="I291" s="99" t="s">
        <v>352</v>
      </c>
      <c r="J291" s="99" t="s">
        <v>352</v>
      </c>
      <c r="K291" s="99" t="s">
        <v>352</v>
      </c>
      <c r="L291" s="99" t="s">
        <v>352</v>
      </c>
      <c r="M291" s="99" t="s">
        <v>352</v>
      </c>
      <c r="N291" s="584">
        <f t="shared" si="74"/>
        <v>2.0699999999999998</v>
      </c>
      <c r="O291" s="608">
        <f>IF(O$226=10,C291,HLOOKUP($O$226,$D$226:$M$291,66,TRUE))</f>
        <v>2.0699999999999998</v>
      </c>
      <c r="P291" s="77">
        <f>IF(P$226=10,C291,HLOOKUP($P$226,$D$226:$M$291,66,TRUE))</f>
        <v>2.0699999999999998</v>
      </c>
      <c r="Q291" s="541"/>
      <c r="R291" s="541" t="str">
        <f t="shared" si="75"/>
        <v>Công trình hạ tầng kỹ thuật</v>
      </c>
      <c r="S291" s="541" t="str">
        <f t="shared" si="76"/>
        <v>Thiết kế 2 bước</v>
      </c>
      <c r="T291" s="541" t="str">
        <f t="shared" si="77"/>
        <v>Công trình hạ tầng kỹ thuậtThiết kế 2 bướcCấp IV</v>
      </c>
      <c r="U291" s="814">
        <f t="shared" si="78"/>
        <v>2.0699999999999998</v>
      </c>
      <c r="V291" s="541"/>
      <c r="W291" s="541"/>
    </row>
    <row r="292" spans="1:23" ht="12.75" hidden="1" customHeight="1" x14ac:dyDescent="0.25">
      <c r="A292" s="48" t="s">
        <v>809</v>
      </c>
      <c r="B292" s="48"/>
      <c r="C292" s="48"/>
      <c r="D292" s="48"/>
      <c r="E292" s="48"/>
      <c r="F292" s="48"/>
      <c r="G292" s="48"/>
      <c r="H292" s="48"/>
      <c r="I292" s="48"/>
      <c r="J292" s="48"/>
      <c r="K292" s="48"/>
      <c r="L292" s="48"/>
      <c r="M292" s="48"/>
      <c r="N292" s="903"/>
      <c r="O292" s="560"/>
      <c r="P292" s="36"/>
      <c r="Q292" s="48"/>
      <c r="R292" s="48"/>
      <c r="S292" s="48"/>
      <c r="T292" s="48"/>
      <c r="U292" s="48"/>
      <c r="V292" s="48"/>
      <c r="W292" s="48"/>
    </row>
    <row r="293" spans="1:23" ht="15.4"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row>
    <row r="294" spans="1:23" ht="15.4" customHeight="1" x14ac:dyDescent="0.25">
      <c r="A294" s="1286" t="s">
        <v>1426</v>
      </c>
      <c r="B294" s="1286"/>
      <c r="C294" s="1286"/>
      <c r="D294" s="1286"/>
      <c r="E294" s="1286"/>
      <c r="F294" s="1286"/>
      <c r="G294" s="1286"/>
      <c r="H294" s="1286"/>
      <c r="I294" s="1286"/>
      <c r="J294" s="1286"/>
      <c r="K294" s="1286"/>
      <c r="L294" s="1286"/>
      <c r="M294" s="1286"/>
      <c r="N294" s="48"/>
      <c r="O294" s="48"/>
      <c r="P294" s="48"/>
      <c r="Q294" s="48"/>
      <c r="R294" s="48"/>
      <c r="S294" s="48"/>
      <c r="T294" s="48"/>
      <c r="U294" s="48"/>
      <c r="V294" s="48"/>
      <c r="W294" s="48"/>
    </row>
    <row r="295" spans="1:23" ht="15.4" customHeight="1" x14ac:dyDescent="0.25">
      <c r="A295" s="48"/>
      <c r="B295" s="48"/>
      <c r="C295" s="48"/>
      <c r="D295" s="48"/>
      <c r="E295" s="48"/>
      <c r="F295" s="48"/>
      <c r="G295" s="48"/>
      <c r="H295" s="48"/>
      <c r="I295" s="48"/>
      <c r="J295" s="48"/>
      <c r="K295" s="1133" t="s">
        <v>681</v>
      </c>
      <c r="L295" s="1133"/>
      <c r="M295" s="1133"/>
      <c r="N295" s="1133"/>
      <c r="O295" s="48"/>
      <c r="P295" s="48"/>
      <c r="Q295" s="48"/>
      <c r="R295" s="48"/>
      <c r="S295" s="48"/>
      <c r="T295" s="48"/>
      <c r="U295" s="48"/>
      <c r="V295" s="48"/>
      <c r="W295" s="48"/>
    </row>
    <row r="296" spans="1:23" ht="12.75" hidden="1" customHeight="1" x14ac:dyDescent="0.25">
      <c r="A296" s="48" t="s">
        <v>981</v>
      </c>
      <c r="B296" s="48"/>
      <c r="C296" s="48"/>
      <c r="D296" s="48"/>
      <c r="E296" s="48"/>
      <c r="F296" s="48"/>
      <c r="G296" s="48"/>
      <c r="H296" s="48"/>
      <c r="I296" s="48"/>
      <c r="J296" s="48"/>
      <c r="K296" s="48"/>
      <c r="L296" s="48"/>
      <c r="M296" s="48"/>
      <c r="N296" s="48" t="s">
        <v>1080</v>
      </c>
      <c r="O296" s="48"/>
      <c r="P296" s="48"/>
      <c r="Q296" s="48"/>
      <c r="R296" s="48"/>
      <c r="S296" s="48"/>
      <c r="T296" s="48"/>
      <c r="U296" s="48"/>
      <c r="V296" s="48"/>
      <c r="W296" s="48"/>
    </row>
    <row r="297" spans="1:23" ht="15.4" customHeight="1" x14ac:dyDescent="0.25">
      <c r="A297" s="1285" t="s">
        <v>172</v>
      </c>
      <c r="B297" s="1285" t="s">
        <v>589</v>
      </c>
      <c r="C297" s="1285" t="s">
        <v>357</v>
      </c>
      <c r="D297" s="1285"/>
      <c r="E297" s="1285"/>
      <c r="F297" s="1285"/>
      <c r="G297" s="1285"/>
      <c r="H297" s="1285"/>
      <c r="I297" s="1285"/>
      <c r="J297" s="1285"/>
      <c r="K297" s="1285"/>
      <c r="L297" s="1285"/>
      <c r="M297" s="1285"/>
      <c r="N297" s="1285"/>
      <c r="O297" s="373" t="s">
        <v>823</v>
      </c>
      <c r="P297" s="902" t="s">
        <v>628</v>
      </c>
      <c r="Q297" s="13" t="s">
        <v>298</v>
      </c>
      <c r="R297" s="541"/>
      <c r="S297" s="541"/>
      <c r="T297" s="541"/>
      <c r="U297" s="541"/>
      <c r="V297" s="541"/>
      <c r="W297" s="541"/>
    </row>
    <row r="298" spans="1:23" ht="15.4" customHeight="1" x14ac:dyDescent="0.25">
      <c r="A298" s="1285"/>
      <c r="B298" s="1285"/>
      <c r="C298" s="423" t="s">
        <v>1450</v>
      </c>
      <c r="D298" s="423">
        <v>20</v>
      </c>
      <c r="E298" s="423">
        <v>50</v>
      </c>
      <c r="F298" s="423">
        <v>100</v>
      </c>
      <c r="G298" s="423">
        <v>200</v>
      </c>
      <c r="H298" s="423">
        <v>500</v>
      </c>
      <c r="I298" s="126">
        <v>1000</v>
      </c>
      <c r="J298" s="126">
        <v>2000</v>
      </c>
      <c r="K298" s="126">
        <v>5000</v>
      </c>
      <c r="L298" s="126">
        <v>10000</v>
      </c>
      <c r="M298" s="126">
        <v>20000</v>
      </c>
      <c r="N298" s="126">
        <v>30000</v>
      </c>
      <c r="O298" s="373">
        <f>$C$1+$C$2</f>
        <v>1.1435271830114</v>
      </c>
      <c r="P298" s="902">
        <f>IF(O298&lt;D298,15,IF(O298&gt;N298,N298,HLOOKUP(O298,D298:N298,1)))</f>
        <v>15</v>
      </c>
      <c r="Q298" s="13">
        <f>IF(O298&lt;15,15,IF(O298&lt;20,20,IF(O298&gt;N298,N298,INDEX(D298:N298,MATCH(O298,D298:N298,1)+1))))</f>
        <v>15</v>
      </c>
      <c r="R298" s="541"/>
      <c r="S298" s="541"/>
      <c r="T298" s="541"/>
      <c r="U298" s="541"/>
      <c r="V298" s="541"/>
      <c r="W298" s="541"/>
    </row>
    <row r="299" spans="1:23" ht="15.4" customHeight="1" x14ac:dyDescent="0.25">
      <c r="A299" s="265">
        <v>1</v>
      </c>
      <c r="B299" s="74" t="str">
        <f t="shared" ref="B299:B303" si="79">B48</f>
        <v>Công trình dân dụng</v>
      </c>
      <c r="C299" s="465">
        <v>7.0999999999999994E-2</v>
      </c>
      <c r="D299" s="465">
        <v>5.8999999999999997E-2</v>
      </c>
      <c r="E299" s="465">
        <v>4.8000000000000001E-2</v>
      </c>
      <c r="F299" s="465">
        <v>3.4000000000000002E-2</v>
      </c>
      <c r="G299" s="465">
        <v>2.5000000000000001E-2</v>
      </c>
      <c r="H299" s="465">
        <v>1.6E-2</v>
      </c>
      <c r="I299" s="465">
        <v>1.4E-2</v>
      </c>
      <c r="J299" s="465">
        <v>1.2E-2</v>
      </c>
      <c r="K299" s="465">
        <v>8.9999999999999993E-3</v>
      </c>
      <c r="L299" s="465">
        <v>7.0000000000000001E-3</v>
      </c>
      <c r="M299" s="465">
        <v>5.0000000000000001E-3</v>
      </c>
      <c r="N299" s="465">
        <v>4.0000000000000001E-3</v>
      </c>
      <c r="O299" s="584">
        <f t="shared" ref="O299:O303" si="80">IF(Q$298=P$298,P299,ROUND(P299-((P299-Q299)/(Q$298-P$298))*(O$298-P$298),3))</f>
        <v>7.0999999999999994E-2</v>
      </c>
      <c r="P299" s="211">
        <f>IF(P$298=0,0,IF(P$298=15,C299,HLOOKUP($P$298,$D$298:$N$303,2,TRUE)))</f>
        <v>7.0999999999999994E-2</v>
      </c>
      <c r="Q299" s="619">
        <f>IF(Q$298=0,0,IF(Q$298=15,C299,HLOOKUP($Q$298,$D$298:$N$303,2,TRUE)))</f>
        <v>7.0999999999999994E-2</v>
      </c>
      <c r="R299" s="541"/>
      <c r="S299" s="541"/>
      <c r="T299" s="541"/>
      <c r="U299" s="541"/>
      <c r="V299" s="541"/>
      <c r="W299" s="541"/>
    </row>
    <row r="300" spans="1:23" ht="15.4" customHeight="1" x14ac:dyDescent="0.25">
      <c r="A300" s="265">
        <v>2</v>
      </c>
      <c r="B300" s="74" t="str">
        <f t="shared" si="79"/>
        <v>Công trình công nghiệp</v>
      </c>
      <c r="C300" s="465">
        <v>9.8000000000000004E-2</v>
      </c>
      <c r="D300" s="465">
        <v>8.3000000000000004E-2</v>
      </c>
      <c r="E300" s="465">
        <v>6.7000000000000004E-2</v>
      </c>
      <c r="F300" s="465">
        <v>4.9000000000000002E-2</v>
      </c>
      <c r="G300" s="465">
        <v>3.6999999999999998E-2</v>
      </c>
      <c r="H300" s="465">
        <v>2.8000000000000001E-2</v>
      </c>
      <c r="I300" s="465">
        <v>2.5000000000000001E-2</v>
      </c>
      <c r="J300" s="465">
        <v>0.02</v>
      </c>
      <c r="K300" s="465">
        <v>1.4999999999999999E-2</v>
      </c>
      <c r="L300" s="465">
        <v>0.01</v>
      </c>
      <c r="M300" s="465">
        <v>7.0000000000000001E-3</v>
      </c>
      <c r="N300" s="465">
        <v>5.0000000000000001E-3</v>
      </c>
      <c r="O300" s="584">
        <f t="shared" si="80"/>
        <v>9.8000000000000004E-2</v>
      </c>
      <c r="P300" s="211">
        <f>IF(P$298=0,0,IF(P$298=15,C300,HLOOKUP($P$298,$D$298:$N$303,3,TRUE)))</f>
        <v>9.8000000000000004E-2</v>
      </c>
      <c r="Q300" s="619">
        <f>IF(Q$298=0,0,IF(Q$298=15,C300,HLOOKUP($Q$298,$D$298:$N$303,3,TRUE)))</f>
        <v>9.8000000000000004E-2</v>
      </c>
      <c r="R300" s="541"/>
      <c r="S300" s="541"/>
      <c r="T300" s="541"/>
      <c r="U300" s="541"/>
      <c r="V300" s="541"/>
      <c r="W300" s="541"/>
    </row>
    <row r="301" spans="1:23" ht="15.4" customHeight="1" x14ac:dyDescent="0.25">
      <c r="A301" s="265">
        <v>3</v>
      </c>
      <c r="B301" s="74" t="str">
        <f t="shared" si="79"/>
        <v>Công trình giao thông</v>
      </c>
      <c r="C301" s="465">
        <v>5.3999999999999999E-2</v>
      </c>
      <c r="D301" s="465">
        <v>4.9000000000000002E-2</v>
      </c>
      <c r="E301" s="465">
        <v>3.9E-2</v>
      </c>
      <c r="F301" s="465">
        <v>0.03</v>
      </c>
      <c r="G301" s="465">
        <v>0.02</v>
      </c>
      <c r="H301" s="465">
        <v>1.2999999999999999E-2</v>
      </c>
      <c r="I301" s="465">
        <v>1.0999999999999999E-2</v>
      </c>
      <c r="J301" s="465">
        <v>8.9999999999999993E-3</v>
      </c>
      <c r="K301" s="465">
        <v>7.0000000000000001E-3</v>
      </c>
      <c r="L301" s="465">
        <v>5.0000000000000001E-3</v>
      </c>
      <c r="M301" s="465">
        <v>4.0000000000000001E-3</v>
      </c>
      <c r="N301" s="465">
        <v>3.0000000000000001E-3</v>
      </c>
      <c r="O301" s="584">
        <f t="shared" si="80"/>
        <v>5.3999999999999999E-2</v>
      </c>
      <c r="P301" s="211">
        <f>IF(P$298=0,0,IF(P$298=15,C301,HLOOKUP($P$298,$D$298:$N$303,4,TRUE)))</f>
        <v>5.3999999999999999E-2</v>
      </c>
      <c r="Q301" s="619">
        <f>IF(Q$298=0,0,IF(Q$298=15,C301,HLOOKUP($Q$298,$D$298:$N$303,4,TRUE)))</f>
        <v>5.3999999999999999E-2</v>
      </c>
      <c r="R301" s="541"/>
      <c r="S301" s="541"/>
      <c r="T301" s="541"/>
      <c r="U301" s="541"/>
      <c r="V301" s="541"/>
      <c r="W301" s="541"/>
    </row>
    <row r="302" spans="1:23" ht="15.4" customHeight="1" x14ac:dyDescent="0.25">
      <c r="A302" s="265">
        <v>4</v>
      </c>
      <c r="B302" s="74" t="str">
        <f t="shared" si="79"/>
        <v>Công trình nông nghiệp và phát triển nông thôn</v>
      </c>
      <c r="C302" s="465">
        <v>6.4000000000000001E-2</v>
      </c>
      <c r="D302" s="465">
        <v>5.8000000000000003E-2</v>
      </c>
      <c r="E302" s="465">
        <v>4.7E-2</v>
      </c>
      <c r="F302" s="465">
        <v>3.3000000000000002E-2</v>
      </c>
      <c r="G302" s="465">
        <v>2.4E-2</v>
      </c>
      <c r="H302" s="465">
        <v>1.4999999999999999E-2</v>
      </c>
      <c r="I302" s="465">
        <v>1.2999999999999999E-2</v>
      </c>
      <c r="J302" s="465">
        <v>1.0999999999999999E-2</v>
      </c>
      <c r="K302" s="465">
        <v>8.9999999999999993E-3</v>
      </c>
      <c r="L302" s="465">
        <v>6.0000000000000001E-3</v>
      </c>
      <c r="M302" s="465">
        <v>5.0000000000000001E-3</v>
      </c>
      <c r="N302" s="465">
        <v>4.0000000000000001E-3</v>
      </c>
      <c r="O302" s="584">
        <f t="shared" si="80"/>
        <v>6.4000000000000001E-2</v>
      </c>
      <c r="P302" s="211">
        <f>IF(P$298=0,0,IF(P$298=15,C302,HLOOKUP($P$298,$D$298:$N$303,5,TRUE)))</f>
        <v>6.4000000000000001E-2</v>
      </c>
      <c r="Q302" s="619">
        <f>IF(Q$298=0,0,IF(Q$298=15,C302,HLOOKUP($Q$298,$D$298:$N$303,5,TRUE)))</f>
        <v>6.4000000000000001E-2</v>
      </c>
      <c r="R302" s="541"/>
      <c r="S302" s="541"/>
      <c r="T302" s="541"/>
      <c r="U302" s="541"/>
      <c r="V302" s="541"/>
      <c r="W302" s="541"/>
    </row>
    <row r="303" spans="1:23" ht="15.4" customHeight="1" x14ac:dyDescent="0.25">
      <c r="A303" s="265">
        <v>5</v>
      </c>
      <c r="B303" s="74" t="str">
        <f t="shared" si="79"/>
        <v>Công trình hạ tầng kỹ thuật</v>
      </c>
      <c r="C303" s="465">
        <v>5.6000000000000001E-2</v>
      </c>
      <c r="D303" s="465">
        <v>5.0999999999999997E-2</v>
      </c>
      <c r="E303" s="465">
        <v>4.1000000000000002E-2</v>
      </c>
      <c r="F303" s="465">
        <v>3.2000000000000001E-2</v>
      </c>
      <c r="G303" s="465">
        <v>2.1000000000000001E-2</v>
      </c>
      <c r="H303" s="465">
        <v>1.2999999999999999E-2</v>
      </c>
      <c r="I303" s="465">
        <v>1.2E-2</v>
      </c>
      <c r="J303" s="465">
        <v>0.01</v>
      </c>
      <c r="K303" s="465">
        <v>8.0000000000000002E-3</v>
      </c>
      <c r="L303" s="465">
        <v>5.0000000000000001E-3</v>
      </c>
      <c r="M303" s="465">
        <v>4.0000000000000001E-3</v>
      </c>
      <c r="N303" s="465">
        <v>3.0000000000000001E-3</v>
      </c>
      <c r="O303" s="584">
        <f t="shared" si="80"/>
        <v>5.6000000000000001E-2</v>
      </c>
      <c r="P303" s="211">
        <f>IF(P$298=0,0,IF(P$298=15,C303,HLOOKUP($P$298,$D$298:$N$303,6,TRUE)))</f>
        <v>5.6000000000000001E-2</v>
      </c>
      <c r="Q303" s="619">
        <f>IF(Q$298=0,0,IF(Q$298=15,C303,HLOOKUP($Q$298,$D$298:$N$303,6,TRUE)))</f>
        <v>5.6000000000000001E-2</v>
      </c>
      <c r="R303" s="541"/>
      <c r="S303" s="541"/>
      <c r="T303" s="541"/>
      <c r="U303" s="541"/>
      <c r="V303" s="541"/>
      <c r="W303" s="541"/>
    </row>
    <row r="304" spans="1:23" ht="12.75" hidden="1" customHeight="1" x14ac:dyDescent="0.25">
      <c r="A304" s="48" t="s">
        <v>1018</v>
      </c>
      <c r="B304" s="48"/>
      <c r="C304" s="48"/>
      <c r="D304" s="48"/>
      <c r="E304" s="48"/>
      <c r="F304" s="48"/>
      <c r="G304" s="48"/>
      <c r="H304" s="48"/>
      <c r="I304" s="48"/>
      <c r="J304" s="48"/>
      <c r="K304" s="48"/>
      <c r="L304" s="48"/>
      <c r="M304" s="48"/>
      <c r="N304" s="48"/>
      <c r="O304" s="48"/>
      <c r="P304" s="48"/>
      <c r="Q304" s="48"/>
      <c r="R304" s="48"/>
      <c r="S304" s="48"/>
      <c r="T304" s="48"/>
      <c r="U304" s="48"/>
      <c r="V304" s="48"/>
      <c r="W304" s="48"/>
    </row>
    <row r="305" spans="1:23" ht="15.4"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row>
    <row r="306" spans="1:23" ht="15.4" customHeight="1" x14ac:dyDescent="0.25">
      <c r="A306" s="1286" t="s">
        <v>879</v>
      </c>
      <c r="B306" s="1286"/>
      <c r="C306" s="1286"/>
      <c r="D306" s="1286"/>
      <c r="E306" s="1286"/>
      <c r="F306" s="1286"/>
      <c r="G306" s="1286"/>
      <c r="H306" s="1286"/>
      <c r="I306" s="1286"/>
      <c r="J306" s="1286"/>
      <c r="K306" s="1286"/>
      <c r="L306" s="1286"/>
      <c r="M306" s="1286"/>
      <c r="N306" s="48"/>
      <c r="O306" s="48"/>
      <c r="P306" s="48"/>
      <c r="Q306" s="48"/>
      <c r="R306" s="48"/>
      <c r="S306" s="48"/>
      <c r="T306" s="48"/>
      <c r="U306" s="48"/>
      <c r="V306" s="48"/>
      <c r="W306" s="48"/>
    </row>
    <row r="307" spans="1:23" ht="15.4" customHeight="1" x14ac:dyDescent="0.25">
      <c r="A307" s="48"/>
      <c r="B307" s="48"/>
      <c r="C307" s="48"/>
      <c r="D307" s="48"/>
      <c r="E307" s="48"/>
      <c r="F307" s="48"/>
      <c r="G307" s="48"/>
      <c r="H307" s="48"/>
      <c r="I307" s="48"/>
      <c r="J307" s="48"/>
      <c r="K307" s="1133" t="s">
        <v>681</v>
      </c>
      <c r="L307" s="1133"/>
      <c r="M307" s="1133"/>
      <c r="N307" s="1133"/>
      <c r="O307" s="48"/>
      <c r="P307" s="48"/>
      <c r="Q307" s="48"/>
      <c r="R307" s="48"/>
      <c r="S307" s="48"/>
      <c r="T307" s="48"/>
      <c r="U307" s="48"/>
      <c r="V307" s="48"/>
      <c r="W307" s="48"/>
    </row>
    <row r="308" spans="1:23" ht="12.75" hidden="1" customHeight="1" x14ac:dyDescent="0.25">
      <c r="A308" s="48" t="s">
        <v>117</v>
      </c>
      <c r="B308" s="48"/>
      <c r="C308" s="48"/>
      <c r="D308" s="48"/>
      <c r="E308" s="48"/>
      <c r="F308" s="48"/>
      <c r="G308" s="48"/>
      <c r="H308" s="48"/>
      <c r="I308" s="48"/>
      <c r="J308" s="48"/>
      <c r="K308" s="48"/>
      <c r="L308" s="48"/>
      <c r="M308" s="48"/>
      <c r="N308" s="48" t="s">
        <v>1080</v>
      </c>
      <c r="O308" s="48"/>
      <c r="P308" s="48"/>
      <c r="Q308" s="48"/>
      <c r="R308" s="48"/>
      <c r="S308" s="48"/>
      <c r="T308" s="48"/>
      <c r="U308" s="48"/>
      <c r="V308" s="48"/>
      <c r="W308" s="48"/>
    </row>
    <row r="309" spans="1:23" ht="15.4" customHeight="1" x14ac:dyDescent="0.25">
      <c r="A309" s="1285" t="s">
        <v>172</v>
      </c>
      <c r="B309" s="1285" t="s">
        <v>589</v>
      </c>
      <c r="C309" s="1285" t="s">
        <v>357</v>
      </c>
      <c r="D309" s="1285"/>
      <c r="E309" s="1285"/>
      <c r="F309" s="1285"/>
      <c r="G309" s="1285"/>
      <c r="H309" s="1285"/>
      <c r="I309" s="1285"/>
      <c r="J309" s="1285"/>
      <c r="K309" s="1285"/>
      <c r="L309" s="1285"/>
      <c r="M309" s="1285"/>
      <c r="N309" s="1285"/>
      <c r="O309" s="373" t="s">
        <v>823</v>
      </c>
      <c r="P309" s="902" t="s">
        <v>628</v>
      </c>
      <c r="Q309" s="13" t="s">
        <v>298</v>
      </c>
      <c r="R309" s="541"/>
      <c r="S309" s="541"/>
      <c r="T309" s="541"/>
      <c r="U309" s="541"/>
      <c r="V309" s="541"/>
      <c r="W309" s="541"/>
    </row>
    <row r="310" spans="1:23" ht="15.4" customHeight="1" x14ac:dyDescent="0.25">
      <c r="A310" s="1285"/>
      <c r="B310" s="1285"/>
      <c r="C310" s="423" t="s">
        <v>1450</v>
      </c>
      <c r="D310" s="423">
        <v>20</v>
      </c>
      <c r="E310" s="423">
        <v>50</v>
      </c>
      <c r="F310" s="423">
        <v>100</v>
      </c>
      <c r="G310" s="423">
        <v>200</v>
      </c>
      <c r="H310" s="423">
        <v>500</v>
      </c>
      <c r="I310" s="126">
        <v>1000</v>
      </c>
      <c r="J310" s="126">
        <v>2000</v>
      </c>
      <c r="K310" s="126">
        <v>5000</v>
      </c>
      <c r="L310" s="126">
        <v>10000</v>
      </c>
      <c r="M310" s="126">
        <v>20000</v>
      </c>
      <c r="N310" s="126">
        <v>30000</v>
      </c>
      <c r="O310" s="373">
        <f>$C$1+$C$2</f>
        <v>1.1435271830114</v>
      </c>
      <c r="P310" s="902">
        <f>IF(O310&lt;D310,15,IF(O310&gt;N310,N310,HLOOKUP(O310,D310:N310,1)))</f>
        <v>15</v>
      </c>
      <c r="Q310" s="13">
        <f>IF(O310&lt;15,15,IF(O310&lt;20,20,IF(O310&gt;N310,N310,INDEX(D310:N310,MATCH(O310,D310:N310,1)+1))))</f>
        <v>15</v>
      </c>
      <c r="R310" s="541"/>
      <c r="S310" s="541"/>
      <c r="T310" s="541"/>
      <c r="U310" s="541"/>
      <c r="V310" s="541"/>
      <c r="W310" s="541"/>
    </row>
    <row r="311" spans="1:23" ht="15.4" customHeight="1" x14ac:dyDescent="0.25">
      <c r="A311" s="265">
        <v>1</v>
      </c>
      <c r="B311" s="74" t="str">
        <f t="shared" ref="B311:B315" si="81">B48</f>
        <v>Công trình dân dụng</v>
      </c>
      <c r="C311" s="465">
        <v>0.20399999999999999</v>
      </c>
      <c r="D311" s="465">
        <v>0.16800000000000001</v>
      </c>
      <c r="E311" s="465">
        <v>0.13800000000000001</v>
      </c>
      <c r="F311" s="465">
        <v>9.7000000000000003E-2</v>
      </c>
      <c r="G311" s="465">
        <v>7.0000000000000007E-2</v>
      </c>
      <c r="H311" s="465">
        <v>4.5999999999999999E-2</v>
      </c>
      <c r="I311" s="465">
        <v>4.1000000000000002E-2</v>
      </c>
      <c r="J311" s="465">
        <v>3.4000000000000002E-2</v>
      </c>
      <c r="K311" s="465">
        <v>2.5999999999999999E-2</v>
      </c>
      <c r="L311" s="465">
        <v>1.9E-2</v>
      </c>
      <c r="M311" s="465">
        <v>1.4999999999999999E-2</v>
      </c>
      <c r="N311" s="465">
        <v>1.2E-2</v>
      </c>
      <c r="O311" s="584">
        <f t="shared" ref="O311:O315" si="82">IF(Q$310=P$310,P311,ROUND(P311-((P311-Q311)/(Q$310-P$310))*(O$310-P$310),3))</f>
        <v>0.20399999999999999</v>
      </c>
      <c r="P311" s="211">
        <f>IF(P$310=0,0,IF(P$310=15,C311,HLOOKUP($P$310,$D$310:$N$315,2,TRUE)))</f>
        <v>0.20399999999999999</v>
      </c>
      <c r="Q311" s="619">
        <f>IF(Q$310=0,0,IF(Q$310=15,C311,HLOOKUP($Q$310,$D$310:$N$315,2,TRUE)))</f>
        <v>0.20399999999999999</v>
      </c>
      <c r="R311" s="541"/>
      <c r="S311" s="541"/>
      <c r="T311" s="541"/>
      <c r="U311" s="541"/>
      <c r="V311" s="541"/>
      <c r="W311" s="541"/>
    </row>
    <row r="312" spans="1:23" ht="15.4" customHeight="1" x14ac:dyDescent="0.25">
      <c r="A312" s="265">
        <v>2</v>
      </c>
      <c r="B312" s="74" t="str">
        <f t="shared" si="81"/>
        <v>Công trình công nghiệp</v>
      </c>
      <c r="C312" s="465">
        <v>0.28100000000000003</v>
      </c>
      <c r="D312" s="465">
        <v>0.23799999999999999</v>
      </c>
      <c r="E312" s="465">
        <v>0.19</v>
      </c>
      <c r="F312" s="465">
        <v>0.14099999999999999</v>
      </c>
      <c r="G312" s="465">
        <v>0.107</v>
      </c>
      <c r="H312" s="465">
        <v>0.08</v>
      </c>
      <c r="I312" s="465">
        <v>7.0000000000000007E-2</v>
      </c>
      <c r="J312" s="465">
        <v>5.6000000000000001E-2</v>
      </c>
      <c r="K312" s="465">
        <v>4.3999999999999997E-2</v>
      </c>
      <c r="L312" s="465">
        <v>2.9000000000000001E-2</v>
      </c>
      <c r="M312" s="465">
        <v>0.02</v>
      </c>
      <c r="N312" s="465">
        <v>1.4999999999999999E-2</v>
      </c>
      <c r="O312" s="584">
        <f t="shared" si="82"/>
        <v>0.28100000000000003</v>
      </c>
      <c r="P312" s="211">
        <f>IF(P$310=0,0,IF(P$310=15,C312,HLOOKUP($P$310,$D$310:$N$315,3,TRUE)))</f>
        <v>0.28100000000000003</v>
      </c>
      <c r="Q312" s="619">
        <f>IF(Q$310=0,0,IF(Q$310=15,C312,HLOOKUP($Q$310,$D$310:$N$315,3,TRUE)))</f>
        <v>0.28100000000000003</v>
      </c>
      <c r="R312" s="541"/>
      <c r="S312" s="541"/>
      <c r="T312" s="541"/>
      <c r="U312" s="541"/>
      <c r="V312" s="541"/>
      <c r="W312" s="541"/>
    </row>
    <row r="313" spans="1:23" ht="15.4" customHeight="1" x14ac:dyDescent="0.25">
      <c r="A313" s="265">
        <v>3</v>
      </c>
      <c r="B313" s="74" t="str">
        <f t="shared" si="81"/>
        <v>Công trình giao thông</v>
      </c>
      <c r="C313" s="465">
        <v>0.153</v>
      </c>
      <c r="D313" s="465">
        <v>0.13900000000000001</v>
      </c>
      <c r="E313" s="465">
        <v>0.112</v>
      </c>
      <c r="F313" s="465">
        <v>8.6999999999999994E-2</v>
      </c>
      <c r="G313" s="465">
        <v>5.8000000000000003E-2</v>
      </c>
      <c r="H313" s="465">
        <v>3.5999999999999997E-2</v>
      </c>
      <c r="I313" s="465">
        <v>3.2000000000000001E-2</v>
      </c>
      <c r="J313" s="465">
        <v>2.5999999999999999E-2</v>
      </c>
      <c r="K313" s="465">
        <v>0.02</v>
      </c>
      <c r="L313" s="465">
        <v>1.4E-2</v>
      </c>
      <c r="M313" s="465">
        <v>0.01</v>
      </c>
      <c r="N313" s="465">
        <v>8.9999999999999993E-3</v>
      </c>
      <c r="O313" s="584">
        <f t="shared" si="82"/>
        <v>0.153</v>
      </c>
      <c r="P313" s="211">
        <f>IF(P$310=0,0,IF(P$310=15,C313,HLOOKUP($P$310,$D$310:$N$315,4,TRUE)))</f>
        <v>0.153</v>
      </c>
      <c r="Q313" s="619">
        <f>IF(Q$310=0,0,IF(Q$310=15,C313,HLOOKUP($Q$310,$D$310:$N$315,4,TRUE)))</f>
        <v>0.153</v>
      </c>
      <c r="R313" s="541"/>
      <c r="S313" s="541"/>
      <c r="T313" s="541"/>
      <c r="U313" s="541"/>
      <c r="V313" s="541"/>
      <c r="W313" s="541"/>
    </row>
    <row r="314" spans="1:23" ht="15.4" customHeight="1" x14ac:dyDescent="0.25">
      <c r="A314" s="265">
        <v>4</v>
      </c>
      <c r="B314" s="74" t="str">
        <f t="shared" si="81"/>
        <v>Công trình nông nghiệp và phát triển nông thôn</v>
      </c>
      <c r="C314" s="465">
        <v>0.182</v>
      </c>
      <c r="D314" s="465">
        <v>0.16700000000000001</v>
      </c>
      <c r="E314" s="465">
        <v>0.13300000000000001</v>
      </c>
      <c r="F314" s="465">
        <v>9.4E-2</v>
      </c>
      <c r="G314" s="465">
        <v>6.8000000000000005E-2</v>
      </c>
      <c r="H314" s="465">
        <v>4.3999999999999997E-2</v>
      </c>
      <c r="I314" s="465">
        <v>3.6999999999999998E-2</v>
      </c>
      <c r="J314" s="465">
        <v>3.2000000000000001E-2</v>
      </c>
      <c r="K314" s="465">
        <v>2.5999999999999999E-2</v>
      </c>
      <c r="L314" s="465">
        <v>1.7000000000000001E-2</v>
      </c>
      <c r="M314" s="465">
        <v>1.4E-2</v>
      </c>
      <c r="N314" s="465">
        <v>0.01</v>
      </c>
      <c r="O314" s="584">
        <f t="shared" si="82"/>
        <v>0.182</v>
      </c>
      <c r="P314" s="211">
        <f>IF(P$310=0,0,IF(P$310=15,C314,HLOOKUP($P$310,$D$310:$N$315,5,TRUE)))</f>
        <v>0.182</v>
      </c>
      <c r="Q314" s="619">
        <f>IF(Q$310=0,0,IF(Q$310=15,C314,HLOOKUP($Q$310,$D$310:$N$315,5,TRUE)))</f>
        <v>0.182</v>
      </c>
      <c r="R314" s="541"/>
      <c r="S314" s="541"/>
      <c r="T314" s="541"/>
      <c r="U314" s="541"/>
      <c r="V314" s="541"/>
      <c r="W314" s="541"/>
    </row>
    <row r="315" spans="1:23" ht="15.4" customHeight="1" x14ac:dyDescent="0.25">
      <c r="A315" s="265">
        <v>5</v>
      </c>
      <c r="B315" s="74" t="str">
        <f t="shared" si="81"/>
        <v>Công trình hạ tầng kỹ thuật</v>
      </c>
      <c r="C315" s="465">
        <v>0.16</v>
      </c>
      <c r="D315" s="465">
        <v>0.14499999999999999</v>
      </c>
      <c r="E315" s="465">
        <v>0.11600000000000001</v>
      </c>
      <c r="F315" s="465">
        <v>9.1999999999999998E-2</v>
      </c>
      <c r="G315" s="465">
        <v>0.06</v>
      </c>
      <c r="H315" s="465">
        <v>3.6999999999999998E-2</v>
      </c>
      <c r="I315" s="465">
        <v>3.4000000000000002E-2</v>
      </c>
      <c r="J315" s="465">
        <v>2.9000000000000001E-2</v>
      </c>
      <c r="K315" s="465">
        <v>2.1999999999999999E-2</v>
      </c>
      <c r="L315" s="465">
        <v>1.4999999999999999E-2</v>
      </c>
      <c r="M315" s="465">
        <v>0.01</v>
      </c>
      <c r="N315" s="465">
        <v>8.9999999999999993E-3</v>
      </c>
      <c r="O315" s="584">
        <f t="shared" si="82"/>
        <v>0.16</v>
      </c>
      <c r="P315" s="211">
        <f>IF(P$310=0,0,IF(P$310=15,C315,HLOOKUP($P$310,$D$310:$N$315,6,TRUE)))</f>
        <v>0.16</v>
      </c>
      <c r="Q315" s="619">
        <f>IF(Q$310=0,0,IF(Q$310=15,C315,HLOOKUP($Q$310,$D$310:$N$315,6,TRUE)))</f>
        <v>0.16</v>
      </c>
      <c r="R315" s="541"/>
      <c r="S315" s="541"/>
      <c r="T315" s="541"/>
      <c r="U315" s="541"/>
      <c r="V315" s="541"/>
      <c r="W315" s="541"/>
    </row>
    <row r="316" spans="1:23" ht="12.75" hidden="1" customHeight="1" x14ac:dyDescent="0.25">
      <c r="A316" s="48" t="s">
        <v>143</v>
      </c>
      <c r="B316" s="48"/>
      <c r="C316" s="48"/>
      <c r="D316" s="48"/>
      <c r="E316" s="48"/>
      <c r="F316" s="48"/>
      <c r="G316" s="48"/>
      <c r="H316" s="48"/>
      <c r="I316" s="48"/>
      <c r="J316" s="48"/>
      <c r="K316" s="48"/>
      <c r="L316" s="48"/>
      <c r="M316" s="48"/>
      <c r="N316" s="48"/>
      <c r="O316" s="48"/>
      <c r="P316" s="48"/>
      <c r="Q316" s="48"/>
      <c r="R316" s="48"/>
      <c r="S316" s="48"/>
      <c r="T316" s="48"/>
      <c r="U316" s="48"/>
      <c r="V316" s="48"/>
      <c r="W316" s="48"/>
    </row>
    <row r="317" spans="1:23" ht="15.4"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row>
    <row r="318" spans="1:23" ht="16.350000000000001" customHeight="1" x14ac:dyDescent="0.25">
      <c r="A318" s="1295" t="s">
        <v>1176</v>
      </c>
      <c r="B318" s="1295"/>
      <c r="C318" s="1295"/>
      <c r="D318" s="1295"/>
      <c r="E318" s="1295"/>
      <c r="F318" s="1295"/>
      <c r="G318" s="1295"/>
      <c r="H318" s="1295"/>
      <c r="I318" s="1295"/>
      <c r="J318" s="1295"/>
      <c r="K318" s="1295"/>
      <c r="L318" s="1295"/>
      <c r="M318" s="1295"/>
      <c r="N318" s="1295"/>
      <c r="O318" s="48"/>
      <c r="P318" s="48"/>
      <c r="Q318" s="48"/>
      <c r="R318" s="48"/>
      <c r="S318" s="48"/>
      <c r="T318" s="48"/>
      <c r="U318" s="48"/>
      <c r="V318" s="48"/>
      <c r="W318" s="48"/>
    </row>
    <row r="319" spans="1:23" ht="15.4" customHeight="1" x14ac:dyDescent="0.25">
      <c r="A319" s="48"/>
      <c r="B319" s="48"/>
      <c r="C319" s="48"/>
      <c r="D319" s="48"/>
      <c r="E319" s="48"/>
      <c r="F319" s="48"/>
      <c r="G319" s="48"/>
      <c r="H319" s="48"/>
      <c r="I319" s="1269" t="s">
        <v>681</v>
      </c>
      <c r="J319" s="1269"/>
      <c r="K319" s="1269"/>
      <c r="L319" s="1269"/>
      <c r="M319" s="1269"/>
      <c r="N319" s="817"/>
      <c r="O319" s="48"/>
      <c r="P319" s="48"/>
      <c r="Q319" s="48"/>
      <c r="R319" s="48"/>
      <c r="S319" s="48"/>
      <c r="T319" s="48"/>
      <c r="U319" s="48"/>
      <c r="V319" s="48"/>
      <c r="W319" s="48"/>
    </row>
    <row r="320" spans="1:23" ht="12.75" hidden="1" customHeight="1" x14ac:dyDescent="0.25">
      <c r="A320" s="48" t="s">
        <v>412</v>
      </c>
      <c r="B320" s="48"/>
      <c r="C320" s="48"/>
      <c r="D320" s="48"/>
      <c r="E320" s="48"/>
      <c r="F320" s="48"/>
      <c r="G320" s="48"/>
      <c r="H320" s="48"/>
      <c r="I320" s="48"/>
      <c r="J320" s="48"/>
      <c r="K320" s="48"/>
      <c r="L320" s="48"/>
      <c r="M320" s="48" t="s">
        <v>1080</v>
      </c>
      <c r="N320" s="48"/>
      <c r="O320" s="48"/>
      <c r="P320" s="48"/>
      <c r="Q320" s="48"/>
      <c r="R320" s="48"/>
      <c r="S320" s="48"/>
      <c r="T320" s="48"/>
      <c r="U320" s="48"/>
      <c r="V320" s="48"/>
      <c r="W320" s="48"/>
    </row>
    <row r="321" spans="1:23" ht="16.350000000000001" customHeight="1" x14ac:dyDescent="0.25">
      <c r="A321" s="1285" t="s">
        <v>172</v>
      </c>
      <c r="B321" s="1285" t="s">
        <v>589</v>
      </c>
      <c r="C321" s="1290" t="s">
        <v>327</v>
      </c>
      <c r="D321" s="1290"/>
      <c r="E321" s="1290"/>
      <c r="F321" s="1290"/>
      <c r="G321" s="1290"/>
      <c r="H321" s="1290"/>
      <c r="I321" s="1290"/>
      <c r="J321" s="1290"/>
      <c r="K321" s="1290"/>
      <c r="L321" s="1290"/>
      <c r="M321" s="1290"/>
      <c r="N321" s="373" t="s">
        <v>823</v>
      </c>
      <c r="O321" s="902" t="s">
        <v>628</v>
      </c>
      <c r="P321" s="13" t="s">
        <v>298</v>
      </c>
      <c r="Q321" s="541"/>
      <c r="R321" s="541"/>
      <c r="S321" s="541"/>
      <c r="T321" s="541"/>
      <c r="U321" s="541"/>
      <c r="V321" s="541"/>
      <c r="W321" s="541"/>
    </row>
    <row r="322" spans="1:23" ht="15.4" customHeight="1" x14ac:dyDescent="0.25">
      <c r="A322" s="1285"/>
      <c r="B322" s="1285"/>
      <c r="C322" s="423" t="s">
        <v>1412</v>
      </c>
      <c r="D322" s="423">
        <v>20</v>
      </c>
      <c r="E322" s="423">
        <v>50</v>
      </c>
      <c r="F322" s="423">
        <v>100</v>
      </c>
      <c r="G322" s="423">
        <v>200</v>
      </c>
      <c r="H322" s="423">
        <v>500</v>
      </c>
      <c r="I322" s="126">
        <v>1000</v>
      </c>
      <c r="J322" s="126">
        <v>2000</v>
      </c>
      <c r="K322" s="126">
        <v>5000</v>
      </c>
      <c r="L322" s="126">
        <v>8000</v>
      </c>
      <c r="M322" s="126">
        <v>10000</v>
      </c>
      <c r="N322" s="373">
        <f>$C$1</f>
        <v>1.1435271830114</v>
      </c>
      <c r="O322" s="902">
        <f>IF(N322&lt;D322,10,IF(N322&gt;M322,M322,HLOOKUP(N322,D322:M322,1)))</f>
        <v>10</v>
      </c>
      <c r="P322" s="13">
        <f>IF(N322&lt;10,10,IF(N322&lt;20,20,IF(N322&gt;M322,M322,INDEX(D322:M322,MATCH(N322,D322:M322,1)+1))))</f>
        <v>10</v>
      </c>
      <c r="Q322" s="541"/>
      <c r="R322" s="541"/>
      <c r="S322" s="541"/>
      <c r="T322" s="541"/>
      <c r="U322" s="541"/>
      <c r="V322" s="541"/>
      <c r="W322" s="541"/>
    </row>
    <row r="323" spans="1:23" ht="15.4" customHeight="1" x14ac:dyDescent="0.25">
      <c r="A323" s="265">
        <v>1</v>
      </c>
      <c r="B323" s="74" t="str">
        <f t="shared" ref="B323:B327" si="83">B48</f>
        <v>Công trình dân dụng</v>
      </c>
      <c r="C323" s="465">
        <v>0.25800000000000001</v>
      </c>
      <c r="D323" s="465">
        <v>0.223</v>
      </c>
      <c r="E323" s="465">
        <v>0.17199999999999999</v>
      </c>
      <c r="F323" s="465">
        <v>0.14299999999999999</v>
      </c>
      <c r="G323" s="465">
        <v>0.108</v>
      </c>
      <c r="H323" s="465">
        <v>8.3000000000000004E-2</v>
      </c>
      <c r="I323" s="465">
        <v>6.8000000000000005E-2</v>
      </c>
      <c r="J323" s="465">
        <v>4.3999999999999997E-2</v>
      </c>
      <c r="K323" s="465">
        <v>3.3000000000000002E-2</v>
      </c>
      <c r="L323" s="465">
        <v>2.8000000000000001E-2</v>
      </c>
      <c r="M323" s="310">
        <v>2.5999999999999999E-2</v>
      </c>
      <c r="N323" s="584">
        <f t="shared" ref="N323:N327" si="84">IF(P$322=O$322,O323,ROUND(O323-((O323-P323)/(P$322-O$322))*(N$322-O$322),3))</f>
        <v>0.25800000000000001</v>
      </c>
      <c r="O323" s="211">
        <f>IF(O$322=10,C323,HLOOKUP($O$322,$D$322:$M$327,2,TRUE))</f>
        <v>0.25800000000000001</v>
      </c>
      <c r="P323" s="619">
        <f>IF(P$322=10,C323,HLOOKUP($P$322,$D$322:$M$327,2,TRUE))</f>
        <v>0.25800000000000001</v>
      </c>
      <c r="Q323" s="541"/>
      <c r="R323" s="541"/>
      <c r="S323" s="541"/>
      <c r="T323" s="541"/>
      <c r="U323" s="541"/>
      <c r="V323" s="541"/>
      <c r="W323" s="541"/>
    </row>
    <row r="324" spans="1:23" ht="15.4" customHeight="1" x14ac:dyDescent="0.25">
      <c r="A324" s="265">
        <v>2</v>
      </c>
      <c r="B324" s="74" t="str">
        <f t="shared" si="83"/>
        <v>Công trình công nghiệp</v>
      </c>
      <c r="C324" s="465">
        <v>0.28999999999999998</v>
      </c>
      <c r="D324" s="465">
        <v>0.252</v>
      </c>
      <c r="E324" s="465">
        <v>0.192</v>
      </c>
      <c r="F324" s="465">
        <v>0.14599999999999999</v>
      </c>
      <c r="G324" s="465">
        <v>0.113</v>
      </c>
      <c r="H324" s="465">
        <v>8.6999999999999994E-2</v>
      </c>
      <c r="I324" s="465">
        <v>6.6000000000000003E-2</v>
      </c>
      <c r="J324" s="465">
        <v>5.2999999999999999E-2</v>
      </c>
      <c r="K324" s="465">
        <v>3.7999999999999999E-2</v>
      </c>
      <c r="L324" s="465">
        <v>3.1E-2</v>
      </c>
      <c r="M324" s="310">
        <v>2.8000000000000001E-2</v>
      </c>
      <c r="N324" s="584">
        <f t="shared" si="84"/>
        <v>0.28999999999999998</v>
      </c>
      <c r="O324" s="211">
        <f>IF(O$322=10,C324,HLOOKUP($O$322,$D$322:$M$327,3,TRUE))</f>
        <v>0.28999999999999998</v>
      </c>
      <c r="P324" s="619">
        <f>IF(P$322=10,C324,HLOOKUP($P$322,$D$322:$M$327,3,TRUE))</f>
        <v>0.28999999999999998</v>
      </c>
      <c r="Q324" s="541"/>
      <c r="R324" s="541"/>
      <c r="S324" s="541"/>
      <c r="T324" s="541"/>
      <c r="U324" s="541"/>
      <c r="V324" s="541"/>
      <c r="W324" s="541"/>
    </row>
    <row r="325" spans="1:23" ht="15.4" customHeight="1" x14ac:dyDescent="0.25">
      <c r="A325" s="265">
        <v>3</v>
      </c>
      <c r="B325" s="74" t="str">
        <f t="shared" si="83"/>
        <v>Công trình giao thông</v>
      </c>
      <c r="C325" s="465">
        <v>0.17</v>
      </c>
      <c r="D325" s="465">
        <v>0.14699999999999999</v>
      </c>
      <c r="E325" s="465">
        <v>0.113</v>
      </c>
      <c r="F325" s="465">
        <v>8.4000000000000005E-2</v>
      </c>
      <c r="G325" s="465">
        <v>7.2999999999999995E-2</v>
      </c>
      <c r="H325" s="465">
        <v>5.5E-2</v>
      </c>
      <c r="I325" s="465">
        <v>4.2000000000000003E-2</v>
      </c>
      <c r="J325" s="465">
        <v>3.5000000000000003E-2</v>
      </c>
      <c r="K325" s="465">
        <v>2.4E-2</v>
      </c>
      <c r="L325" s="465">
        <v>0.02</v>
      </c>
      <c r="M325" s="310">
        <v>1.7000000000000001E-2</v>
      </c>
      <c r="N325" s="584">
        <f t="shared" si="84"/>
        <v>0.17</v>
      </c>
      <c r="O325" s="211">
        <f>IF(O$322=10,C325,HLOOKUP($O$322,$D$322:$M$327,4,TRUE))</f>
        <v>0.17</v>
      </c>
      <c r="P325" s="619">
        <f>IF(P$322=10,C325,HLOOKUP($P$322,$D$322:$M$327,4,TRUE))</f>
        <v>0.17</v>
      </c>
      <c r="Q325" s="541"/>
      <c r="R325" s="541"/>
      <c r="S325" s="541"/>
      <c r="T325" s="541"/>
      <c r="U325" s="541"/>
      <c r="V325" s="541"/>
      <c r="W325" s="541"/>
    </row>
    <row r="326" spans="1:23" ht="15.4" customHeight="1" x14ac:dyDescent="0.25">
      <c r="A326" s="265">
        <v>4</v>
      </c>
      <c r="B326" s="74" t="str">
        <f t="shared" si="83"/>
        <v>Công trình nông nghiệp và phát triển nông thôn</v>
      </c>
      <c r="C326" s="465">
        <v>0.189</v>
      </c>
      <c r="D326" s="465">
        <v>0.16300000000000001</v>
      </c>
      <c r="E326" s="465">
        <v>0.125</v>
      </c>
      <c r="F326" s="465">
        <v>9.2999999999999999E-2</v>
      </c>
      <c r="G326" s="465">
        <v>7.2999999999999995E-2</v>
      </c>
      <c r="H326" s="465">
        <v>5.6000000000000001E-2</v>
      </c>
      <c r="I326" s="465">
        <v>4.2999999999999997E-2</v>
      </c>
      <c r="J326" s="465">
        <v>3.5000000000000003E-2</v>
      </c>
      <c r="K326" s="465">
        <v>2.5999999999999999E-2</v>
      </c>
      <c r="L326" s="465">
        <v>2.1999999999999999E-2</v>
      </c>
      <c r="M326" s="310">
        <v>1.9E-2</v>
      </c>
      <c r="N326" s="584">
        <f t="shared" si="84"/>
        <v>0.189</v>
      </c>
      <c r="O326" s="211">
        <f>IF(O$322=10,C326,HLOOKUP($O$322,$D$322:$M$327,5,TRUE))</f>
        <v>0.189</v>
      </c>
      <c r="P326" s="619">
        <f>IF(P$322=10,C326,HLOOKUP($P$322,$D$322:$M$327,5,TRUE))</f>
        <v>0.189</v>
      </c>
      <c r="Q326" s="541"/>
      <c r="R326" s="541"/>
      <c r="S326" s="541"/>
      <c r="T326" s="541"/>
      <c r="U326" s="541"/>
      <c r="V326" s="541"/>
      <c r="W326" s="541"/>
    </row>
    <row r="327" spans="1:23" ht="15.4" customHeight="1" x14ac:dyDescent="0.25">
      <c r="A327" s="265">
        <v>5</v>
      </c>
      <c r="B327" s="74" t="str">
        <f t="shared" si="83"/>
        <v>Công trình hạ tầng kỹ thuật</v>
      </c>
      <c r="C327" s="465">
        <v>0.19700000000000001</v>
      </c>
      <c r="D327" s="465">
        <v>0.17199999999999999</v>
      </c>
      <c r="E327" s="465">
        <v>0.13300000000000001</v>
      </c>
      <c r="F327" s="465">
        <v>9.9000000000000005E-2</v>
      </c>
      <c r="G327" s="465">
        <v>7.5999999999999998E-2</v>
      </c>
      <c r="H327" s="465">
        <v>5.8999999999999997E-2</v>
      </c>
      <c r="I327" s="465">
        <v>4.5999999999999999E-2</v>
      </c>
      <c r="J327" s="465">
        <v>0.04</v>
      </c>
      <c r="K327" s="465">
        <v>2.9000000000000001E-2</v>
      </c>
      <c r="L327" s="465">
        <v>2.4E-2</v>
      </c>
      <c r="M327" s="310">
        <v>2.1000000000000001E-2</v>
      </c>
      <c r="N327" s="584">
        <f t="shared" si="84"/>
        <v>0.19700000000000001</v>
      </c>
      <c r="O327" s="211">
        <f>IF(O$322=10,C327,HLOOKUP($O$322,$D$322:$M$327,6,TRUE))</f>
        <v>0.19700000000000001</v>
      </c>
      <c r="P327" s="619">
        <f>IF(P$322=10,C327,HLOOKUP($P$322,$D$322:$M$327,6,TRUE))</f>
        <v>0.19700000000000001</v>
      </c>
      <c r="Q327" s="541"/>
      <c r="R327" s="541"/>
      <c r="S327" s="541"/>
      <c r="T327" s="541"/>
      <c r="U327" s="541"/>
      <c r="V327" s="541"/>
      <c r="W327" s="541"/>
    </row>
    <row r="328" spans="1:23" ht="12.75" hidden="1" customHeight="1" x14ac:dyDescent="0.25">
      <c r="A328" s="48" t="s">
        <v>40</v>
      </c>
      <c r="B328" s="48"/>
      <c r="C328" s="48"/>
      <c r="D328" s="48"/>
      <c r="E328" s="48"/>
      <c r="F328" s="48"/>
      <c r="G328" s="48"/>
      <c r="H328" s="48"/>
      <c r="I328" s="48"/>
      <c r="J328" s="48"/>
      <c r="K328" s="48"/>
      <c r="L328" s="48"/>
      <c r="M328" s="48"/>
      <c r="N328" s="48"/>
      <c r="O328" s="48"/>
      <c r="P328" s="48"/>
      <c r="Q328" s="48"/>
      <c r="R328" s="48"/>
      <c r="S328" s="48"/>
      <c r="T328" s="48"/>
      <c r="U328" s="48"/>
      <c r="V328" s="48"/>
      <c r="W328" s="48"/>
    </row>
    <row r="329" spans="1:23" ht="15.4"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row>
    <row r="330" spans="1:23" ht="15.4" customHeight="1" x14ac:dyDescent="0.25">
      <c r="A330" s="1286" t="s">
        <v>1334</v>
      </c>
      <c r="B330" s="1286"/>
      <c r="C330" s="1286"/>
      <c r="D330" s="1286"/>
      <c r="E330" s="1286"/>
      <c r="F330" s="1286"/>
      <c r="G330" s="1286"/>
      <c r="H330" s="1286"/>
      <c r="I330" s="1286"/>
      <c r="J330" s="1286"/>
      <c r="K330" s="1286"/>
      <c r="L330" s="1286"/>
      <c r="M330" s="1286"/>
      <c r="N330" s="48"/>
      <c r="O330" s="48"/>
      <c r="P330" s="48"/>
      <c r="Q330" s="48"/>
      <c r="R330" s="48"/>
      <c r="S330" s="48"/>
      <c r="T330" s="48"/>
      <c r="U330" s="48"/>
      <c r="V330" s="48"/>
      <c r="W330" s="48"/>
    </row>
    <row r="331" spans="1:23" ht="15.4" customHeight="1" x14ac:dyDescent="0.25">
      <c r="A331" s="48"/>
      <c r="B331" s="48"/>
      <c r="C331" s="48"/>
      <c r="D331" s="48"/>
      <c r="E331" s="48"/>
      <c r="F331" s="48"/>
      <c r="G331" s="48"/>
      <c r="H331" s="48"/>
      <c r="I331" s="1269" t="s">
        <v>681</v>
      </c>
      <c r="J331" s="1269"/>
      <c r="K331" s="1269"/>
      <c r="L331" s="1269"/>
      <c r="M331" s="1269"/>
      <c r="N331" s="817"/>
      <c r="O331" s="48"/>
      <c r="P331" s="48"/>
      <c r="Q331" s="48"/>
      <c r="R331" s="48"/>
      <c r="S331" s="48"/>
      <c r="T331" s="48"/>
      <c r="U331" s="48"/>
      <c r="V331" s="48"/>
      <c r="W331" s="48"/>
    </row>
    <row r="332" spans="1:23" ht="12.75" hidden="1" customHeight="1" x14ac:dyDescent="0.25">
      <c r="A332" s="48" t="s">
        <v>852</v>
      </c>
      <c r="B332" s="48"/>
      <c r="C332" s="48"/>
      <c r="D332" s="48"/>
      <c r="E332" s="48"/>
      <c r="F332" s="48"/>
      <c r="G332" s="48"/>
      <c r="H332" s="48"/>
      <c r="I332" s="48"/>
      <c r="J332" s="48"/>
      <c r="K332" s="48"/>
      <c r="L332" s="48"/>
      <c r="M332" s="48" t="s">
        <v>1080</v>
      </c>
      <c r="N332" s="48"/>
      <c r="O332" s="48"/>
      <c r="P332" s="48"/>
      <c r="Q332" s="48"/>
      <c r="R332" s="48"/>
      <c r="S332" s="48"/>
      <c r="T332" s="48"/>
      <c r="U332" s="48"/>
      <c r="V332" s="48"/>
      <c r="W332" s="48"/>
    </row>
    <row r="333" spans="1:23" ht="15" customHeight="1" x14ac:dyDescent="0.25">
      <c r="A333" s="1285" t="s">
        <v>172</v>
      </c>
      <c r="B333" s="1285" t="s">
        <v>589</v>
      </c>
      <c r="C333" s="1290" t="s">
        <v>327</v>
      </c>
      <c r="D333" s="1290"/>
      <c r="E333" s="1290"/>
      <c r="F333" s="1290"/>
      <c r="G333" s="1290"/>
      <c r="H333" s="1290"/>
      <c r="I333" s="1290"/>
      <c r="J333" s="1290"/>
      <c r="K333" s="1290"/>
      <c r="L333" s="1290"/>
      <c r="M333" s="1290"/>
      <c r="N333" s="373" t="s">
        <v>823</v>
      </c>
      <c r="O333" s="902" t="s">
        <v>628</v>
      </c>
      <c r="P333" s="13" t="s">
        <v>298</v>
      </c>
      <c r="Q333" s="541"/>
      <c r="R333" s="541"/>
      <c r="S333" s="541"/>
      <c r="T333" s="541"/>
      <c r="U333" s="541"/>
      <c r="V333" s="541"/>
      <c r="W333" s="541"/>
    </row>
    <row r="334" spans="1:23" ht="15.4" customHeight="1" x14ac:dyDescent="0.25">
      <c r="A334" s="1285"/>
      <c r="B334" s="1285"/>
      <c r="C334" s="423" t="s">
        <v>1412</v>
      </c>
      <c r="D334" s="423">
        <v>20</v>
      </c>
      <c r="E334" s="423">
        <v>50</v>
      </c>
      <c r="F334" s="423">
        <v>100</v>
      </c>
      <c r="G334" s="423">
        <v>200</v>
      </c>
      <c r="H334" s="423">
        <v>500</v>
      </c>
      <c r="I334" s="126">
        <v>1000</v>
      </c>
      <c r="J334" s="126">
        <v>2000</v>
      </c>
      <c r="K334" s="126">
        <v>5000</v>
      </c>
      <c r="L334" s="126">
        <v>8000</v>
      </c>
      <c r="M334" s="126">
        <v>10000</v>
      </c>
      <c r="N334" s="373">
        <f>$C$1</f>
        <v>1.1435271830114</v>
      </c>
      <c r="O334" s="902">
        <f>IF(N334&lt;D334,10,IF(N334&gt;M334,M334,HLOOKUP(N334,D334:M334,1)))</f>
        <v>10</v>
      </c>
      <c r="P334" s="13">
        <f>IF(N334&lt;10,10,IF(N334&lt;20,20,IF(N334&gt;M334,M334,INDEX(D334:M334,MATCH(N334,D334:M334,1)+1))))</f>
        <v>10</v>
      </c>
      <c r="Q334" s="541"/>
      <c r="R334" s="541"/>
      <c r="S334" s="541"/>
      <c r="T334" s="541"/>
      <c r="U334" s="541"/>
      <c r="V334" s="541"/>
      <c r="W334" s="541"/>
    </row>
    <row r="335" spans="1:23" ht="15.4" customHeight="1" x14ac:dyDescent="0.25">
      <c r="A335" s="265">
        <v>1</v>
      </c>
      <c r="B335" s="74" t="str">
        <f t="shared" ref="B335:B339" si="85">B48</f>
        <v>Công trình dân dụng</v>
      </c>
      <c r="C335" s="465">
        <v>0.25</v>
      </c>
      <c r="D335" s="465">
        <v>0.219</v>
      </c>
      <c r="E335" s="465">
        <v>0.16600000000000001</v>
      </c>
      <c r="F335" s="465">
        <v>0.14000000000000001</v>
      </c>
      <c r="G335" s="465">
        <v>0.105</v>
      </c>
      <c r="H335" s="465">
        <v>7.6999999999999999E-2</v>
      </c>
      <c r="I335" s="465">
        <v>6.4000000000000001E-2</v>
      </c>
      <c r="J335" s="465">
        <v>4.2999999999999997E-2</v>
      </c>
      <c r="K335" s="465">
        <v>3.2000000000000001E-2</v>
      </c>
      <c r="L335" s="465">
        <v>2.7E-2</v>
      </c>
      <c r="M335" s="310">
        <v>2.5000000000000001E-2</v>
      </c>
      <c r="N335" s="584">
        <f t="shared" ref="N335:N339" si="86">IF(P$334=O$334,O335,ROUND(O335-((O335-P335)/(P$334-O$334))*(N$334-O$334),3))</f>
        <v>0.25</v>
      </c>
      <c r="O335" s="211">
        <f>IF(O$334=10,C335,HLOOKUP($O$334,$D$334:$M$339,2,TRUE))</f>
        <v>0.25</v>
      </c>
      <c r="P335" s="619">
        <f>IF(P$334=10,C335,HLOOKUP($P$334,$D$334:$M$339,2,TRUE))</f>
        <v>0.25</v>
      </c>
      <c r="Q335" s="541"/>
      <c r="R335" s="541"/>
      <c r="S335" s="541"/>
      <c r="T335" s="541"/>
      <c r="U335" s="541"/>
      <c r="V335" s="541"/>
      <c r="W335" s="541"/>
    </row>
    <row r="336" spans="1:23" ht="15.4" customHeight="1" x14ac:dyDescent="0.25">
      <c r="A336" s="265">
        <v>2</v>
      </c>
      <c r="B336" s="74" t="str">
        <f t="shared" si="85"/>
        <v>Công trình công nghiệp</v>
      </c>
      <c r="C336" s="465">
        <v>0.28199999999999997</v>
      </c>
      <c r="D336" s="465">
        <v>0.24399999999999999</v>
      </c>
      <c r="E336" s="465">
        <v>0.185</v>
      </c>
      <c r="F336" s="465">
        <v>0.14099999999999999</v>
      </c>
      <c r="G336" s="465">
        <v>0.108</v>
      </c>
      <c r="H336" s="465">
        <v>8.3000000000000004E-2</v>
      </c>
      <c r="I336" s="465">
        <v>6.2E-2</v>
      </c>
      <c r="J336" s="465">
        <v>0.05</v>
      </c>
      <c r="K336" s="465">
        <v>3.4000000000000002E-2</v>
      </c>
      <c r="L336" s="465">
        <v>0.03</v>
      </c>
      <c r="M336" s="310">
        <v>2.7E-2</v>
      </c>
      <c r="N336" s="584">
        <f t="shared" si="86"/>
        <v>0.28199999999999997</v>
      </c>
      <c r="O336" s="211">
        <f>IF(O$334=10,C336,HLOOKUP($O$334,$D$334:$M$339,3,TRUE))</f>
        <v>0.28199999999999997</v>
      </c>
      <c r="P336" s="619">
        <f>IF(P$334=10,C336,HLOOKUP($P$334,$D$334:$M$339,3,TRUE))</f>
        <v>0.28199999999999997</v>
      </c>
      <c r="Q336" s="541"/>
      <c r="R336" s="541"/>
      <c r="S336" s="541"/>
      <c r="T336" s="541"/>
      <c r="U336" s="541"/>
      <c r="V336" s="541"/>
      <c r="W336" s="541"/>
    </row>
    <row r="337" spans="1:23" ht="15.4" customHeight="1" x14ac:dyDescent="0.25">
      <c r="A337" s="265">
        <v>3</v>
      </c>
      <c r="B337" s="74" t="str">
        <f t="shared" si="85"/>
        <v>Công trình giao thông</v>
      </c>
      <c r="C337" s="465">
        <v>0.16600000000000001</v>
      </c>
      <c r="D337" s="465">
        <v>0.14199999999999999</v>
      </c>
      <c r="E337" s="465">
        <v>0.106</v>
      </c>
      <c r="F337" s="465">
        <v>8.2000000000000003E-2</v>
      </c>
      <c r="G337" s="465">
        <v>6.9000000000000006E-2</v>
      </c>
      <c r="H337" s="465">
        <v>5.1999999999999998E-2</v>
      </c>
      <c r="I337" s="465">
        <v>4.1000000000000002E-2</v>
      </c>
      <c r="J337" s="465">
        <v>3.4000000000000002E-2</v>
      </c>
      <c r="K337" s="465">
        <v>2.1000000000000001E-2</v>
      </c>
      <c r="L337" s="465">
        <v>1.7999999999999999E-2</v>
      </c>
      <c r="M337" s="310">
        <v>1.6E-2</v>
      </c>
      <c r="N337" s="584">
        <f t="shared" si="86"/>
        <v>0.16600000000000001</v>
      </c>
      <c r="O337" s="211">
        <f>IF(O$334=10,C337,HLOOKUP($O$334,$D$334:$M$339,4,TRUE))</f>
        <v>0.16600000000000001</v>
      </c>
      <c r="P337" s="619">
        <f>IF(P$334=10,C337,HLOOKUP($P$334,$D$334:$M$339,4,TRUE))</f>
        <v>0.16600000000000001</v>
      </c>
      <c r="Q337" s="541"/>
      <c r="R337" s="541"/>
      <c r="S337" s="541"/>
      <c r="T337" s="541"/>
      <c r="U337" s="541"/>
      <c r="V337" s="541"/>
      <c r="W337" s="541"/>
    </row>
    <row r="338" spans="1:23" ht="15.4" customHeight="1" x14ac:dyDescent="0.25">
      <c r="A338" s="265">
        <v>4</v>
      </c>
      <c r="B338" s="74" t="str">
        <f t="shared" si="85"/>
        <v>Công trình nông nghiệp và phát triển nông thôn</v>
      </c>
      <c r="C338" s="465">
        <v>0.183</v>
      </c>
      <c r="D338" s="465">
        <v>0.158</v>
      </c>
      <c r="E338" s="465">
        <v>0.11899999999999999</v>
      </c>
      <c r="F338" s="465">
        <v>9.1999999999999998E-2</v>
      </c>
      <c r="G338" s="465">
        <v>7.0000000000000007E-2</v>
      </c>
      <c r="H338" s="465">
        <v>5.2999999999999999E-2</v>
      </c>
      <c r="I338" s="465">
        <v>0.04</v>
      </c>
      <c r="J338" s="465">
        <v>3.4000000000000002E-2</v>
      </c>
      <c r="K338" s="465">
        <v>2.4E-2</v>
      </c>
      <c r="L338" s="465">
        <v>2.1000000000000001E-2</v>
      </c>
      <c r="M338" s="310">
        <v>1.7999999999999999E-2</v>
      </c>
      <c r="N338" s="584">
        <f t="shared" si="86"/>
        <v>0.183</v>
      </c>
      <c r="O338" s="211">
        <f>IF(O$334=10,C338,HLOOKUP($O$334,$D$334:$M$339,5,TRUE))</f>
        <v>0.183</v>
      </c>
      <c r="P338" s="619">
        <f>IF(P$334=10,C338,HLOOKUP($P$334,$D$334:$M$339,5,TRUE))</f>
        <v>0.183</v>
      </c>
      <c r="Q338" s="541"/>
      <c r="R338" s="541"/>
      <c r="S338" s="541"/>
      <c r="T338" s="541"/>
      <c r="U338" s="541"/>
      <c r="V338" s="541"/>
      <c r="W338" s="541"/>
    </row>
    <row r="339" spans="1:23" ht="15.4" customHeight="1" x14ac:dyDescent="0.25">
      <c r="A339" s="265">
        <v>5</v>
      </c>
      <c r="B339" s="74" t="str">
        <f t="shared" si="85"/>
        <v>Công trình hạ tầng kỹ thuật</v>
      </c>
      <c r="C339" s="465">
        <v>0.191</v>
      </c>
      <c r="D339" s="465">
        <v>0.16600000000000001</v>
      </c>
      <c r="E339" s="465">
        <v>0.128</v>
      </c>
      <c r="F339" s="465">
        <v>9.5000000000000001E-2</v>
      </c>
      <c r="G339" s="465">
        <v>7.1999999999999995E-2</v>
      </c>
      <c r="H339" s="465">
        <v>5.6000000000000001E-2</v>
      </c>
      <c r="I339" s="465">
        <v>4.3999999999999997E-2</v>
      </c>
      <c r="J339" s="465">
        <v>3.6999999999999998E-2</v>
      </c>
      <c r="K339" s="465">
        <v>2.5999999999999999E-2</v>
      </c>
      <c r="L339" s="465">
        <v>2.1999999999999999E-2</v>
      </c>
      <c r="M339" s="310">
        <v>0.02</v>
      </c>
      <c r="N339" s="584">
        <f t="shared" si="86"/>
        <v>0.191</v>
      </c>
      <c r="O339" s="211">
        <f>IF(O$334=10,C339,HLOOKUP($O$334,$D$334:$M$339,6,TRUE))</f>
        <v>0.191</v>
      </c>
      <c r="P339" s="619">
        <f>IF(P$334=10,C339,HLOOKUP($P$334,$D$334:$M$339,6,TRUE))</f>
        <v>0.191</v>
      </c>
      <c r="Q339" s="541"/>
      <c r="R339" s="541"/>
      <c r="S339" s="541"/>
      <c r="T339" s="541"/>
      <c r="U339" s="541"/>
      <c r="V339" s="541"/>
      <c r="W339" s="541"/>
    </row>
    <row r="340" spans="1:23" ht="12.75" hidden="1" customHeight="1" x14ac:dyDescent="0.25">
      <c r="A340" s="48" t="s">
        <v>882</v>
      </c>
      <c r="B340" s="48"/>
      <c r="C340" s="48"/>
      <c r="D340" s="48"/>
      <c r="E340" s="48"/>
      <c r="F340" s="48"/>
      <c r="G340" s="48"/>
      <c r="H340" s="48"/>
      <c r="I340" s="48"/>
      <c r="J340" s="48"/>
      <c r="K340" s="48"/>
      <c r="L340" s="48"/>
      <c r="M340" s="48"/>
      <c r="N340" s="48"/>
      <c r="O340" s="48"/>
      <c r="P340" s="48"/>
      <c r="Q340" s="48"/>
      <c r="R340" s="48"/>
      <c r="S340" s="48"/>
      <c r="T340" s="48"/>
      <c r="U340" s="48"/>
      <c r="V340" s="48"/>
      <c r="W340" s="48"/>
    </row>
    <row r="341" spans="1:23" ht="15.4"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row>
    <row r="342" spans="1:23" ht="15.4" customHeight="1" x14ac:dyDescent="0.25">
      <c r="A342" s="1272" t="s">
        <v>301</v>
      </c>
      <c r="B342" s="1272"/>
      <c r="C342" s="1272"/>
      <c r="D342" s="1272"/>
      <c r="E342" s="1272"/>
      <c r="F342" s="1272"/>
      <c r="G342" s="1272"/>
      <c r="H342" s="1272"/>
      <c r="I342" s="1272"/>
      <c r="J342" s="1272"/>
      <c r="K342" s="1272"/>
      <c r="L342" s="1272"/>
      <c r="M342" s="1272"/>
      <c r="N342" s="48"/>
      <c r="O342" s="48"/>
      <c r="P342" s="48"/>
      <c r="Q342" s="48"/>
      <c r="R342" s="48"/>
      <c r="S342" s="48"/>
      <c r="T342" s="48"/>
      <c r="U342" s="48"/>
      <c r="V342" s="48"/>
      <c r="W342" s="48"/>
    </row>
    <row r="343" spans="1:23" ht="15.4" customHeight="1" x14ac:dyDescent="0.25">
      <c r="A343" s="48"/>
      <c r="B343" s="48"/>
      <c r="C343" s="48"/>
      <c r="D343" s="48"/>
      <c r="E343" s="48"/>
      <c r="F343" s="48"/>
      <c r="G343" s="48"/>
      <c r="H343" s="1269" t="s">
        <v>681</v>
      </c>
      <c r="I343" s="1269"/>
      <c r="J343" s="817"/>
      <c r="K343" s="817"/>
      <c r="L343" s="817"/>
      <c r="M343" s="817"/>
      <c r="N343" s="817"/>
      <c r="O343" s="48"/>
      <c r="P343" s="48"/>
      <c r="Q343" s="48"/>
      <c r="R343" s="48"/>
      <c r="S343" s="48"/>
      <c r="T343" s="48"/>
      <c r="U343" s="48"/>
      <c r="V343" s="48"/>
      <c r="W343" s="48"/>
    </row>
    <row r="344" spans="1:23" ht="12.75" hidden="1" customHeight="1" x14ac:dyDescent="0.25">
      <c r="A344" s="48" t="s">
        <v>1099</v>
      </c>
      <c r="B344" s="48"/>
      <c r="C344" s="48"/>
      <c r="D344" s="48"/>
      <c r="E344" s="48"/>
      <c r="F344" s="48"/>
      <c r="G344" s="48"/>
      <c r="H344" s="48"/>
      <c r="I344" s="48" t="s">
        <v>1080</v>
      </c>
      <c r="J344" s="48"/>
      <c r="K344" s="48"/>
      <c r="L344" s="48"/>
      <c r="M344" s="48"/>
      <c r="N344" s="48"/>
      <c r="O344" s="48"/>
      <c r="P344" s="48"/>
      <c r="Q344" s="48"/>
      <c r="R344" s="48"/>
      <c r="S344" s="48"/>
      <c r="T344" s="48"/>
      <c r="U344" s="48"/>
      <c r="V344" s="48"/>
      <c r="W344" s="48"/>
    </row>
    <row r="345" spans="1:23" ht="15" customHeight="1" x14ac:dyDescent="0.25">
      <c r="A345" s="1285" t="s">
        <v>172</v>
      </c>
      <c r="B345" s="1285" t="s">
        <v>589</v>
      </c>
      <c r="C345" s="1296" t="s">
        <v>998</v>
      </c>
      <c r="D345" s="1297"/>
      <c r="E345" s="1297"/>
      <c r="F345" s="1297"/>
      <c r="G345" s="1297"/>
      <c r="H345" s="1297"/>
      <c r="I345" s="1297"/>
      <c r="J345" s="373" t="s">
        <v>823</v>
      </c>
      <c r="K345" s="902" t="s">
        <v>628</v>
      </c>
      <c r="L345" s="13" t="s">
        <v>298</v>
      </c>
      <c r="M345" s="330"/>
      <c r="N345" s="541"/>
      <c r="O345" s="541"/>
      <c r="P345" s="541"/>
      <c r="Q345" s="541"/>
      <c r="R345" s="541"/>
      <c r="S345" s="541"/>
      <c r="T345" s="541"/>
      <c r="U345" s="541"/>
      <c r="V345" s="541"/>
      <c r="W345" s="541"/>
    </row>
    <row r="346" spans="1:23" ht="15.4" customHeight="1" x14ac:dyDescent="0.25">
      <c r="A346" s="1285"/>
      <c r="B346" s="1285"/>
      <c r="C346" s="423" t="s">
        <v>985</v>
      </c>
      <c r="D346" s="423">
        <v>3</v>
      </c>
      <c r="E346" s="423">
        <v>5</v>
      </c>
      <c r="F346" s="423">
        <v>10</v>
      </c>
      <c r="G346" s="423">
        <v>20</v>
      </c>
      <c r="H346" s="423">
        <v>50</v>
      </c>
      <c r="I346" s="126">
        <v>100</v>
      </c>
      <c r="J346" s="373">
        <f>$C$5</f>
        <v>0</v>
      </c>
      <c r="K346" s="902">
        <f>IF(J346&lt;D346,1,IF(J346&gt;I346,I346,HLOOKUP(J346,D346:I346,1)))</f>
        <v>1</v>
      </c>
      <c r="L346" s="13">
        <f>IF(J346&lt;1,1,IF(J346&lt;3,3,IF(J346&gt;I346,I346,INDEX(D346:I346,MATCH(J346,D346:I346,1)+1))))</f>
        <v>1</v>
      </c>
      <c r="M346" s="506"/>
      <c r="N346" s="541"/>
      <c r="O346" s="541"/>
      <c r="P346" s="541"/>
      <c r="Q346" s="541"/>
      <c r="R346" s="541"/>
      <c r="S346" s="541"/>
      <c r="T346" s="541"/>
      <c r="U346" s="541"/>
      <c r="V346" s="541"/>
      <c r="W346" s="541"/>
    </row>
    <row r="347" spans="1:23" ht="15.4" customHeight="1" x14ac:dyDescent="0.25">
      <c r="A347" s="265">
        <v>1</v>
      </c>
      <c r="B347" s="74" t="s">
        <v>1207</v>
      </c>
      <c r="C347" s="465">
        <v>0.81599999999999995</v>
      </c>
      <c r="D347" s="465">
        <v>0.58299999999999996</v>
      </c>
      <c r="E347" s="465">
        <v>0.505</v>
      </c>
      <c r="F347" s="465">
        <v>0.38900000000000001</v>
      </c>
      <c r="G347" s="465">
        <v>0.311</v>
      </c>
      <c r="H347" s="465">
        <v>0.17599999999999999</v>
      </c>
      <c r="I347" s="465">
        <v>0.114</v>
      </c>
      <c r="J347" s="584">
        <f>IF(L$346=K$346,K347,ROUND(K347-((K347-L347)/(L$346-K$346))*(J$346-K$346),3))</f>
        <v>0.81599999999999995</v>
      </c>
      <c r="K347" s="211">
        <f>IF(K$346=1,C347,HLOOKUP($K$346,$D$346:$I$347,2,TRUE))</f>
        <v>0.81599999999999995</v>
      </c>
      <c r="L347" s="619">
        <f>IF(L$346=1,C347,HLOOKUP($L$346,$D$346:$I$347,2,TRUE))</f>
        <v>0.81599999999999995</v>
      </c>
      <c r="M347" s="332"/>
      <c r="N347" s="541"/>
      <c r="O347" s="541"/>
      <c r="P347" s="541"/>
      <c r="Q347" s="541"/>
      <c r="R347" s="541"/>
      <c r="S347" s="541"/>
      <c r="T347" s="541"/>
      <c r="U347" s="541"/>
      <c r="V347" s="541"/>
      <c r="W347" s="541"/>
    </row>
    <row r="348" spans="1:23" ht="12.75" hidden="1" customHeight="1" x14ac:dyDescent="0.25">
      <c r="A348" s="48" t="s">
        <v>1118</v>
      </c>
      <c r="B348" s="48"/>
      <c r="C348" s="48"/>
      <c r="D348" s="48"/>
      <c r="E348" s="48"/>
      <c r="F348" s="48"/>
      <c r="G348" s="48"/>
      <c r="H348" s="48"/>
      <c r="I348" s="48"/>
      <c r="J348" s="48"/>
      <c r="K348" s="48"/>
      <c r="L348" s="48"/>
      <c r="M348" s="48"/>
      <c r="N348" s="48"/>
      <c r="O348" s="48"/>
      <c r="P348" s="48"/>
      <c r="Q348" s="48"/>
      <c r="R348" s="48"/>
      <c r="S348" s="48"/>
      <c r="T348" s="48"/>
      <c r="U348" s="48"/>
      <c r="V348" s="48"/>
      <c r="W348" s="48"/>
    </row>
    <row r="349" spans="1:23" ht="15.4"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row>
    <row r="350" spans="1:23" ht="15.4" customHeight="1" x14ac:dyDescent="0.25">
      <c r="A350" s="1286" t="s">
        <v>1022</v>
      </c>
      <c r="B350" s="1286"/>
      <c r="C350" s="1286"/>
      <c r="D350" s="1286"/>
      <c r="E350" s="1286"/>
      <c r="F350" s="1286"/>
      <c r="G350" s="1286"/>
      <c r="H350" s="1286"/>
      <c r="I350" s="1286"/>
      <c r="J350" s="1286"/>
      <c r="K350" s="1286"/>
      <c r="L350" s="1286"/>
      <c r="M350" s="1286"/>
      <c r="N350" s="48"/>
      <c r="O350" s="48"/>
      <c r="P350" s="48"/>
      <c r="Q350" s="48"/>
      <c r="R350" s="48"/>
      <c r="S350" s="48"/>
      <c r="T350" s="48"/>
      <c r="U350" s="48"/>
      <c r="V350" s="48"/>
      <c r="W350" s="48"/>
    </row>
    <row r="351" spans="1:23" ht="15.4" customHeight="1" x14ac:dyDescent="0.25">
      <c r="A351" s="48"/>
      <c r="B351" s="48"/>
      <c r="C351" s="48"/>
      <c r="D351" s="48"/>
      <c r="E351" s="48"/>
      <c r="F351" s="48"/>
      <c r="G351" s="48"/>
      <c r="H351" s="48"/>
      <c r="I351" s="1269" t="s">
        <v>681</v>
      </c>
      <c r="J351" s="1269"/>
      <c r="K351" s="817"/>
      <c r="L351" s="817"/>
      <c r="M351" s="817"/>
      <c r="N351" s="817"/>
      <c r="O351" s="48"/>
      <c r="P351" s="48"/>
      <c r="Q351" s="48"/>
      <c r="R351" s="48"/>
      <c r="S351" s="48"/>
      <c r="T351" s="48"/>
      <c r="U351" s="48"/>
      <c r="V351" s="48"/>
      <c r="W351" s="48"/>
    </row>
    <row r="352" spans="1:23" ht="12.75" hidden="1" customHeight="1" x14ac:dyDescent="0.25">
      <c r="A352" s="48" t="s">
        <v>372</v>
      </c>
      <c r="B352" s="48"/>
      <c r="C352" s="48"/>
      <c r="D352" s="48"/>
      <c r="E352" s="48"/>
      <c r="F352" s="48"/>
      <c r="G352" s="48"/>
      <c r="H352" s="48"/>
      <c r="I352" s="48"/>
      <c r="J352" s="48" t="s">
        <v>1080</v>
      </c>
      <c r="K352" s="48"/>
      <c r="L352" s="48"/>
      <c r="M352" s="48"/>
      <c r="N352" s="48"/>
      <c r="O352" s="48"/>
      <c r="P352" s="48"/>
      <c r="Q352" s="48"/>
      <c r="R352" s="48"/>
      <c r="S352" s="48"/>
      <c r="T352" s="48"/>
      <c r="U352" s="48"/>
      <c r="V352" s="48"/>
      <c r="W352" s="48"/>
    </row>
    <row r="353" spans="1:23" ht="16.5" customHeight="1" x14ac:dyDescent="0.25">
      <c r="A353" s="1279" t="s">
        <v>172</v>
      </c>
      <c r="B353" s="1279" t="s">
        <v>589</v>
      </c>
      <c r="C353" s="1277" t="s">
        <v>670</v>
      </c>
      <c r="D353" s="1278"/>
      <c r="E353" s="1278"/>
      <c r="F353" s="1278"/>
      <c r="G353" s="1278"/>
      <c r="H353" s="1278"/>
      <c r="I353" s="1278"/>
      <c r="J353" s="1278"/>
      <c r="K353" s="539" t="s">
        <v>823</v>
      </c>
      <c r="L353" s="178" t="s">
        <v>628</v>
      </c>
      <c r="M353" s="195" t="s">
        <v>298</v>
      </c>
      <c r="N353" s="48"/>
      <c r="O353" s="48"/>
      <c r="P353" s="48"/>
      <c r="Q353" s="48"/>
      <c r="R353" s="48"/>
      <c r="S353" s="48"/>
      <c r="T353" s="48"/>
      <c r="U353" s="48"/>
      <c r="V353" s="48"/>
      <c r="W353" s="48"/>
    </row>
    <row r="354" spans="1:23" ht="15.4" customHeight="1" x14ac:dyDescent="0.25">
      <c r="A354" s="1279"/>
      <c r="B354" s="1279"/>
      <c r="C354" s="50" t="s">
        <v>1412</v>
      </c>
      <c r="D354" s="50">
        <v>20</v>
      </c>
      <c r="E354" s="50">
        <v>50</v>
      </c>
      <c r="F354" s="50">
        <v>100</v>
      </c>
      <c r="G354" s="50">
        <v>200</v>
      </c>
      <c r="H354" s="50">
        <v>500</v>
      </c>
      <c r="I354" s="142">
        <v>1000</v>
      </c>
      <c r="J354" s="142">
        <v>2000</v>
      </c>
      <c r="K354" s="539">
        <f>$C$1</f>
        <v>1.1435271830114</v>
      </c>
      <c r="L354" s="178">
        <f>IF(K354&lt;D354,10,IF(K354&gt;J354,J354,HLOOKUP(K354,D354:J354,1)))</f>
        <v>10</v>
      </c>
      <c r="M354" s="195">
        <f>IF(K354&lt;10,10,IF(K354&lt;20,20,IF(K354&gt;J354,J354,INDEX(D354:J354,MATCH(K354,D354:J354,1)+1))))</f>
        <v>10</v>
      </c>
      <c r="N354" s="48"/>
      <c r="O354" s="48"/>
      <c r="P354" s="48"/>
      <c r="Q354" s="48"/>
      <c r="R354" s="48"/>
      <c r="S354" s="48"/>
      <c r="T354" s="48"/>
      <c r="U354" s="48"/>
      <c r="V354" s="48"/>
      <c r="W354" s="48"/>
    </row>
    <row r="355" spans="1:23" ht="15.4" customHeight="1" x14ac:dyDescent="0.25">
      <c r="A355" s="612">
        <v>1</v>
      </c>
      <c r="B355" s="426" t="str">
        <f t="shared" ref="B355:B359" si="87">B48</f>
        <v>Công trình dân dụng</v>
      </c>
      <c r="C355" s="56">
        <v>0.432</v>
      </c>
      <c r="D355" s="56">
        <v>0.34599999999999997</v>
      </c>
      <c r="E355" s="56">
        <v>0.19500000000000001</v>
      </c>
      <c r="F355" s="56">
        <v>0.127</v>
      </c>
      <c r="G355" s="56">
        <v>7.8E-2</v>
      </c>
      <c r="H355" s="56">
        <v>5.7000000000000002E-2</v>
      </c>
      <c r="I355" s="56">
        <v>0.04</v>
      </c>
      <c r="J355" s="56">
        <v>3.2000000000000001E-2</v>
      </c>
      <c r="K355" s="903">
        <f t="shared" ref="K355:K359" si="88">IF(M$354=L$354,L355,ROUND(L355-((L355-M355)/(M$354-L$354))*(K$354-L$354),3))</f>
        <v>0.432</v>
      </c>
      <c r="L355" s="560">
        <f>IF(L$354=10,C355,HLOOKUP($L$354,$D$354:$J$359,2,TRUE))</f>
        <v>0.432</v>
      </c>
      <c r="M355" s="36">
        <f>IF(M$354=10,C355,HLOOKUP($M$354,$D$354:$J$359,2,TRUE))</f>
        <v>0.432</v>
      </c>
      <c r="N355" s="48"/>
      <c r="O355" s="48"/>
      <c r="P355" s="48"/>
      <c r="Q355" s="48"/>
      <c r="R355" s="48"/>
      <c r="S355" s="48"/>
      <c r="T355" s="48"/>
      <c r="U355" s="48"/>
      <c r="V355" s="48"/>
      <c r="W355" s="48"/>
    </row>
    <row r="356" spans="1:23" ht="15.4" customHeight="1" x14ac:dyDescent="0.25">
      <c r="A356" s="612">
        <v>2</v>
      </c>
      <c r="B356" s="426" t="str">
        <f t="shared" si="87"/>
        <v>Công trình công nghiệp</v>
      </c>
      <c r="C356" s="56">
        <v>0.54900000000000004</v>
      </c>
      <c r="D356" s="56">
        <v>0.379</v>
      </c>
      <c r="E356" s="56">
        <v>0.21099999999999999</v>
      </c>
      <c r="F356" s="56">
        <v>0.14399999999999999</v>
      </c>
      <c r="G356" s="56">
        <v>9.6000000000000002E-2</v>
      </c>
      <c r="H356" s="56">
        <v>6.7000000000000004E-2</v>
      </c>
      <c r="I356" s="56">
        <v>5.1999999999999998E-2</v>
      </c>
      <c r="J356" s="56">
        <v>4.1000000000000002E-2</v>
      </c>
      <c r="K356" s="903">
        <f t="shared" si="88"/>
        <v>0.54900000000000004</v>
      </c>
      <c r="L356" s="560">
        <f>IF(L$354=10,C356,HLOOKUP($L$354,$D$354:$J$359,3,TRUE))</f>
        <v>0.54900000000000004</v>
      </c>
      <c r="M356" s="36">
        <f>IF(M$354=10,C356,HLOOKUP($M$354,$D$354:$J$359,3,TRUE))</f>
        <v>0.54900000000000004</v>
      </c>
      <c r="N356" s="48"/>
      <c r="O356" s="48"/>
      <c r="P356" s="48"/>
      <c r="Q356" s="48"/>
      <c r="R356" s="48"/>
      <c r="S356" s="48"/>
      <c r="T356" s="48"/>
      <c r="U356" s="48"/>
      <c r="V356" s="48"/>
      <c r="W356" s="48"/>
    </row>
    <row r="357" spans="1:23" ht="15.4" customHeight="1" x14ac:dyDescent="0.25">
      <c r="A357" s="612">
        <v>3</v>
      </c>
      <c r="B357" s="426" t="str">
        <f t="shared" si="87"/>
        <v>Công trình giao thông</v>
      </c>
      <c r="C357" s="56">
        <v>0.34599999999999997</v>
      </c>
      <c r="D357" s="56">
        <v>0.23699999999999999</v>
      </c>
      <c r="E357" s="56">
        <v>0.151</v>
      </c>
      <c r="F357" s="56">
        <v>0.09</v>
      </c>
      <c r="G357" s="56">
        <v>5.7000000000000002E-2</v>
      </c>
      <c r="H357" s="56">
        <v>4.2999999999999997E-2</v>
      </c>
      <c r="I357" s="56">
        <v>2.9000000000000001E-2</v>
      </c>
      <c r="J357" s="56">
        <v>2.3E-2</v>
      </c>
      <c r="K357" s="903">
        <f t="shared" si="88"/>
        <v>0.34599999999999997</v>
      </c>
      <c r="L357" s="560">
        <f>IF(L$354=10,C357,HLOOKUP($L$354,$D$354:$J$359,4,TRUE))</f>
        <v>0.34599999999999997</v>
      </c>
      <c r="M357" s="36">
        <f>IF(M$354=10,C357,HLOOKUP($M$354,$D$354:$J$359,4,TRUE))</f>
        <v>0.34599999999999997</v>
      </c>
      <c r="N357" s="48"/>
      <c r="O357" s="48"/>
      <c r="P357" s="48"/>
      <c r="Q357" s="48"/>
      <c r="R357" s="48"/>
      <c r="S357" s="48"/>
      <c r="T357" s="48"/>
      <c r="U357" s="48"/>
      <c r="V357" s="48"/>
      <c r="W357" s="48"/>
    </row>
    <row r="358" spans="1:23" ht="15.4" customHeight="1" x14ac:dyDescent="0.25">
      <c r="A358" s="612">
        <v>4</v>
      </c>
      <c r="B358" s="426" t="str">
        <f t="shared" si="87"/>
        <v>Công trình nông nghiệp và phát triển nông thôn</v>
      </c>
      <c r="C358" s="56">
        <v>0.36099999999999999</v>
      </c>
      <c r="D358" s="56">
        <v>0.30199999999999999</v>
      </c>
      <c r="E358" s="56">
        <v>0.16600000000000001</v>
      </c>
      <c r="F358" s="56">
        <v>9.4E-2</v>
      </c>
      <c r="G358" s="56">
        <v>6.6000000000000003E-2</v>
      </c>
      <c r="H358" s="56">
        <v>4.5999999999999999E-2</v>
      </c>
      <c r="I358" s="56">
        <v>3.1E-2</v>
      </c>
      <c r="J358" s="56">
        <v>2.5999999999999999E-2</v>
      </c>
      <c r="K358" s="903">
        <f t="shared" si="88"/>
        <v>0.36099999999999999</v>
      </c>
      <c r="L358" s="560">
        <f>IF(L$354=10,C358,HLOOKUP($L$354,$D$354:$J$359,5,TRUE))</f>
        <v>0.36099999999999999</v>
      </c>
      <c r="M358" s="36">
        <f>IF(M$354=10,C358,HLOOKUP($M$354,$D$354:$J$359,5,TRUE))</f>
        <v>0.36099999999999999</v>
      </c>
      <c r="N358" s="48"/>
      <c r="O358" s="48"/>
      <c r="P358" s="48"/>
      <c r="Q358" s="48"/>
      <c r="R358" s="48"/>
      <c r="S358" s="48"/>
      <c r="T358" s="48"/>
      <c r="U358" s="48"/>
      <c r="V358" s="48"/>
      <c r="W358" s="48"/>
    </row>
    <row r="359" spans="1:23" ht="15.4" customHeight="1" x14ac:dyDescent="0.25">
      <c r="A359" s="612">
        <v>5</v>
      </c>
      <c r="B359" s="426" t="str">
        <f t="shared" si="87"/>
        <v>Công trình hạ tầng kỹ thuật</v>
      </c>
      <c r="C359" s="56">
        <v>0.38800000000000001</v>
      </c>
      <c r="D359" s="56">
        <v>0.32500000000000001</v>
      </c>
      <c r="E359" s="56">
        <v>0.17199999999999999</v>
      </c>
      <c r="F359" s="56">
        <v>0.106</v>
      </c>
      <c r="G359" s="56">
        <v>6.9000000000000006E-2</v>
      </c>
      <c r="H359" s="56">
        <v>5.1999999999999998E-2</v>
      </c>
      <c r="I359" s="56">
        <v>3.7999999999999999E-2</v>
      </c>
      <c r="J359" s="56">
        <v>2.8000000000000001E-2</v>
      </c>
      <c r="K359" s="903">
        <f t="shared" si="88"/>
        <v>0.38800000000000001</v>
      </c>
      <c r="L359" s="560">
        <f>IF(L$354=10,C359,HLOOKUP($L$354,$D$354:$J$359,6,TRUE))</f>
        <v>0.38800000000000001</v>
      </c>
      <c r="M359" s="36">
        <f>IF(M$354=10,C359,HLOOKUP($M$354,$D$354:$J$359,6,TRUE))</f>
        <v>0.38800000000000001</v>
      </c>
      <c r="N359" s="48"/>
      <c r="O359" s="48"/>
      <c r="P359" s="48"/>
      <c r="Q359" s="48"/>
      <c r="R359" s="48"/>
      <c r="S359" s="48"/>
      <c r="T359" s="48"/>
      <c r="U359" s="48"/>
      <c r="V359" s="48"/>
      <c r="W359" s="48"/>
    </row>
    <row r="360" spans="1:23" ht="12.75" hidden="1" customHeight="1" x14ac:dyDescent="0.25">
      <c r="A360" s="48" t="s">
        <v>392</v>
      </c>
      <c r="B360" s="48"/>
      <c r="C360" s="48"/>
      <c r="D360" s="48"/>
      <c r="E360" s="48"/>
      <c r="F360" s="48"/>
      <c r="G360" s="48"/>
      <c r="H360" s="48"/>
      <c r="I360" s="48"/>
      <c r="J360" s="48"/>
      <c r="K360" s="48"/>
      <c r="L360" s="48"/>
      <c r="M360" s="48"/>
      <c r="N360" s="48"/>
      <c r="O360" s="48"/>
      <c r="P360" s="48"/>
      <c r="Q360" s="48"/>
      <c r="R360" s="48"/>
      <c r="S360" s="48"/>
      <c r="T360" s="48"/>
      <c r="U360" s="48"/>
      <c r="V360" s="48"/>
      <c r="W360" s="48"/>
    </row>
    <row r="361" spans="1:23" ht="15.4"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row>
    <row r="362" spans="1:23" ht="15.4" customHeight="1" x14ac:dyDescent="0.25">
      <c r="A362" s="1272" t="s">
        <v>1</v>
      </c>
      <c r="B362" s="1272"/>
      <c r="C362" s="1272"/>
      <c r="D362" s="1272"/>
      <c r="E362" s="1272"/>
      <c r="F362" s="1272"/>
      <c r="G362" s="1272"/>
      <c r="H362" s="1272"/>
      <c r="I362" s="1272"/>
      <c r="J362" s="1272"/>
      <c r="K362" s="1272"/>
      <c r="L362" s="1272"/>
      <c r="M362" s="1272"/>
      <c r="N362" s="48"/>
      <c r="O362" s="48"/>
      <c r="P362" s="48"/>
      <c r="Q362" s="48"/>
      <c r="R362" s="48"/>
      <c r="S362" s="48"/>
      <c r="T362" s="48"/>
      <c r="U362" s="48"/>
      <c r="V362" s="48"/>
      <c r="W362" s="48"/>
    </row>
    <row r="363" spans="1:23" ht="15.4" customHeight="1" x14ac:dyDescent="0.25">
      <c r="A363" s="48"/>
      <c r="B363" s="48"/>
      <c r="C363" s="48"/>
      <c r="D363" s="48"/>
      <c r="E363" s="48"/>
      <c r="F363" s="48"/>
      <c r="G363" s="48"/>
      <c r="H363" s="48"/>
      <c r="I363" s="1269" t="s">
        <v>681</v>
      </c>
      <c r="J363" s="1269"/>
      <c r="K363" s="817"/>
      <c r="L363" s="817"/>
      <c r="M363" s="817"/>
      <c r="N363" s="817"/>
      <c r="O363" s="48"/>
      <c r="P363" s="48"/>
      <c r="Q363" s="48"/>
      <c r="R363" s="48"/>
      <c r="S363" s="48"/>
      <c r="T363" s="48"/>
      <c r="U363" s="48"/>
      <c r="V363" s="48"/>
      <c r="W363" s="48"/>
    </row>
    <row r="364" spans="1:23" ht="12.75" hidden="1" customHeight="1" x14ac:dyDescent="0.25">
      <c r="A364" s="48" t="s">
        <v>904</v>
      </c>
      <c r="B364" s="48"/>
      <c r="C364" s="48"/>
      <c r="D364" s="48"/>
      <c r="E364" s="48"/>
      <c r="F364" s="48"/>
      <c r="G364" s="48"/>
      <c r="H364" s="48"/>
      <c r="I364" s="48"/>
      <c r="J364" s="48" t="s">
        <v>1080</v>
      </c>
      <c r="K364" s="48"/>
      <c r="L364" s="48"/>
      <c r="M364" s="48"/>
      <c r="N364" s="48"/>
      <c r="O364" s="48"/>
      <c r="P364" s="48"/>
      <c r="Q364" s="48"/>
      <c r="R364" s="48"/>
      <c r="S364" s="48"/>
      <c r="T364" s="48"/>
      <c r="U364" s="48"/>
      <c r="V364" s="48"/>
      <c r="W364" s="48"/>
    </row>
    <row r="365" spans="1:23" ht="16.5" customHeight="1" x14ac:dyDescent="0.25">
      <c r="A365" s="1285" t="s">
        <v>172</v>
      </c>
      <c r="B365" s="1285" t="s">
        <v>589</v>
      </c>
      <c r="C365" s="1296" t="s">
        <v>74</v>
      </c>
      <c r="D365" s="1297"/>
      <c r="E365" s="1297"/>
      <c r="F365" s="1297"/>
      <c r="G365" s="1297"/>
      <c r="H365" s="1297"/>
      <c r="I365" s="1297"/>
      <c r="J365" s="1297"/>
      <c r="K365" s="373" t="s">
        <v>823</v>
      </c>
      <c r="L365" s="902" t="s">
        <v>628</v>
      </c>
      <c r="M365" s="13" t="s">
        <v>298</v>
      </c>
      <c r="N365" s="541"/>
      <c r="O365" s="541"/>
      <c r="P365" s="541"/>
      <c r="Q365" s="541"/>
      <c r="R365" s="541"/>
      <c r="S365" s="541"/>
      <c r="T365" s="541"/>
      <c r="U365" s="541"/>
      <c r="V365" s="541"/>
      <c r="W365" s="541"/>
    </row>
    <row r="366" spans="1:23" ht="15.4" customHeight="1" x14ac:dyDescent="0.25">
      <c r="A366" s="1285"/>
      <c r="B366" s="1285"/>
      <c r="C366" s="423" t="s">
        <v>1412</v>
      </c>
      <c r="D366" s="423">
        <v>20</v>
      </c>
      <c r="E366" s="423">
        <v>50</v>
      </c>
      <c r="F366" s="423">
        <v>100</v>
      </c>
      <c r="G366" s="423">
        <v>200</v>
      </c>
      <c r="H366" s="423">
        <v>500</v>
      </c>
      <c r="I366" s="126">
        <v>1000</v>
      </c>
      <c r="J366" s="126">
        <v>2000</v>
      </c>
      <c r="K366" s="373">
        <f>$C$2</f>
        <v>0</v>
      </c>
      <c r="L366" s="902">
        <f>IF(K366&lt;D366,10,IF(K366&gt;J366,J366,HLOOKUP(K366,D366:J366,1)))</f>
        <v>10</v>
      </c>
      <c r="M366" s="13">
        <f>IF(K366&lt;10,10,IF(K366&lt;20,20,IF(K366&gt;J366,J366,INDEX(D366:J366,MATCH(K366,D366:J366,1)+1))))</f>
        <v>10</v>
      </c>
      <c r="N366" s="541"/>
      <c r="O366" s="541"/>
      <c r="P366" s="541"/>
      <c r="Q366" s="541"/>
      <c r="R366" s="541"/>
      <c r="S366" s="541"/>
      <c r="T366" s="541"/>
      <c r="U366" s="541"/>
      <c r="V366" s="541"/>
      <c r="W366" s="541"/>
    </row>
    <row r="367" spans="1:23" ht="15.4" customHeight="1" x14ac:dyDescent="0.25">
      <c r="A367" s="265">
        <v>1</v>
      </c>
      <c r="B367" s="74" t="str">
        <f t="shared" ref="B367:B371" si="89">B48</f>
        <v>Công trình dân dụng</v>
      </c>
      <c r="C367" s="465">
        <v>0.36699999999999999</v>
      </c>
      <c r="D367" s="465">
        <v>0.34599999999999997</v>
      </c>
      <c r="E367" s="465">
        <v>0.18099999999999999</v>
      </c>
      <c r="F367" s="465">
        <v>0.113</v>
      </c>
      <c r="G367" s="465">
        <v>0.10199999999999999</v>
      </c>
      <c r="H367" s="465">
        <v>8.1000000000000003E-2</v>
      </c>
      <c r="I367" s="465">
        <v>5.5E-2</v>
      </c>
      <c r="J367" s="465">
        <v>4.2999999999999997E-2</v>
      </c>
      <c r="K367" s="584">
        <f t="shared" ref="K367:K371" si="90">IF(M$366=L$366,L367,ROUND(L367-((L367-M367)/(M$366-L$366))*(K$366-L$366),3))</f>
        <v>0.36699999999999999</v>
      </c>
      <c r="L367" s="211">
        <f>IF(L$366=10,C367,HLOOKUP($L$366,$D$366:$J$371,2,TRUE))</f>
        <v>0.36699999999999999</v>
      </c>
      <c r="M367" s="619">
        <f>IF(M$366=10,C367,HLOOKUP($M$366,$D$366:$J$371,2,TRUE))</f>
        <v>0.36699999999999999</v>
      </c>
      <c r="N367" s="541"/>
      <c r="O367" s="541"/>
      <c r="P367" s="541"/>
      <c r="Q367" s="541"/>
      <c r="R367" s="541"/>
      <c r="S367" s="541"/>
      <c r="T367" s="541"/>
      <c r="U367" s="541"/>
      <c r="V367" s="541"/>
      <c r="W367" s="541"/>
    </row>
    <row r="368" spans="1:23" ht="15.4" customHeight="1" x14ac:dyDescent="0.25">
      <c r="A368" s="265">
        <v>2</v>
      </c>
      <c r="B368" s="74" t="str">
        <f t="shared" si="89"/>
        <v>Công trình công nghiệp</v>
      </c>
      <c r="C368" s="465">
        <v>0.54900000000000004</v>
      </c>
      <c r="D368" s="465">
        <v>0.49399999999999999</v>
      </c>
      <c r="E368" s="465">
        <v>0.28000000000000003</v>
      </c>
      <c r="F368" s="465">
        <v>0.17699999999999999</v>
      </c>
      <c r="G368" s="465">
        <v>0.152</v>
      </c>
      <c r="H368" s="465">
        <v>0.123</v>
      </c>
      <c r="I368" s="465">
        <v>8.4000000000000005E-2</v>
      </c>
      <c r="J368" s="465">
        <v>6.6000000000000003E-2</v>
      </c>
      <c r="K368" s="584">
        <f t="shared" si="90"/>
        <v>0.54900000000000004</v>
      </c>
      <c r="L368" s="211">
        <f>IF(L$366=10,C368,HLOOKUP($L$366,$D$366:$J$371,3,TRUE))</f>
        <v>0.54900000000000004</v>
      </c>
      <c r="M368" s="619">
        <f>IF(M$366=10,C368,HLOOKUP($M$366,$D$366:$J$371,3,TRUE))</f>
        <v>0.54900000000000004</v>
      </c>
      <c r="N368" s="541"/>
      <c r="O368" s="541"/>
      <c r="P368" s="541"/>
      <c r="Q368" s="541"/>
      <c r="R368" s="541"/>
      <c r="S368" s="541"/>
      <c r="T368" s="541"/>
      <c r="U368" s="541"/>
      <c r="V368" s="541"/>
      <c r="W368" s="541"/>
    </row>
    <row r="369" spans="1:23" ht="15.4" customHeight="1" x14ac:dyDescent="0.25">
      <c r="A369" s="265">
        <v>3</v>
      </c>
      <c r="B369" s="74" t="str">
        <f t="shared" si="89"/>
        <v>Công trình giao thông</v>
      </c>
      <c r="C369" s="465">
        <v>0.26100000000000001</v>
      </c>
      <c r="D369" s="465">
        <v>0.23</v>
      </c>
      <c r="E369" s="465">
        <v>0.13100000000000001</v>
      </c>
      <c r="F369" s="465">
        <v>8.4000000000000005E-2</v>
      </c>
      <c r="G369" s="465">
        <v>7.3999999999999996E-2</v>
      </c>
      <c r="H369" s="465">
        <v>5.6000000000000001E-2</v>
      </c>
      <c r="I369" s="465">
        <v>0.04</v>
      </c>
      <c r="J369" s="465">
        <v>3.2000000000000001E-2</v>
      </c>
      <c r="K369" s="584">
        <f t="shared" si="90"/>
        <v>0.26100000000000001</v>
      </c>
      <c r="L369" s="211">
        <f>IF(L$366=10,C369,HLOOKUP($L$366,$D$366:$J$371,4,TRUE))</f>
        <v>0.26100000000000001</v>
      </c>
      <c r="M369" s="619">
        <f>IF(M$366=10,C369,HLOOKUP($M$366,$D$366:$J$371,4,TRUE))</f>
        <v>0.26100000000000001</v>
      </c>
      <c r="N369" s="541"/>
      <c r="O369" s="541"/>
      <c r="P369" s="541"/>
      <c r="Q369" s="541"/>
      <c r="R369" s="541"/>
      <c r="S369" s="541"/>
      <c r="T369" s="541"/>
      <c r="U369" s="541"/>
      <c r="V369" s="541"/>
      <c r="W369" s="541"/>
    </row>
    <row r="370" spans="1:23" ht="15.4" customHeight="1" x14ac:dyDescent="0.25">
      <c r="A370" s="265">
        <v>4</v>
      </c>
      <c r="B370" s="74" t="str">
        <f t="shared" si="89"/>
        <v>Công trình nông nghiệp và phát triển nông thôn</v>
      </c>
      <c r="C370" s="465">
        <v>0.28100000000000003</v>
      </c>
      <c r="D370" s="465">
        <v>0.245</v>
      </c>
      <c r="E370" s="465">
        <v>0.14000000000000001</v>
      </c>
      <c r="F370" s="465">
        <v>0.09</v>
      </c>
      <c r="G370" s="465">
        <v>7.8E-2</v>
      </c>
      <c r="H370" s="465">
        <v>6.0999999999999999E-2</v>
      </c>
      <c r="I370" s="465">
        <v>0.05</v>
      </c>
      <c r="J370" s="465">
        <v>3.6999999999999998E-2</v>
      </c>
      <c r="K370" s="584">
        <f t="shared" si="90"/>
        <v>0.28100000000000003</v>
      </c>
      <c r="L370" s="211">
        <f>IF(L$366=10,C370,HLOOKUP($L$366,$D$366:$J$371,5,TRUE))</f>
        <v>0.28100000000000003</v>
      </c>
      <c r="M370" s="619">
        <f>IF(M$366=10,C370,HLOOKUP($M$366,$D$366:$J$371,5,TRUE))</f>
        <v>0.28100000000000003</v>
      </c>
      <c r="N370" s="541"/>
      <c r="O370" s="541"/>
      <c r="P370" s="541"/>
      <c r="Q370" s="541"/>
      <c r="R370" s="541"/>
      <c r="S370" s="541"/>
      <c r="T370" s="541"/>
      <c r="U370" s="541"/>
      <c r="V370" s="541"/>
      <c r="W370" s="541"/>
    </row>
    <row r="371" spans="1:23" ht="15.4" customHeight="1" x14ac:dyDescent="0.25">
      <c r="A371" s="265">
        <v>5</v>
      </c>
      <c r="B371" s="74" t="str">
        <f t="shared" si="89"/>
        <v>Công trình hạ tầng kỹ thuật</v>
      </c>
      <c r="C371" s="465">
        <v>0.30199999999999999</v>
      </c>
      <c r="D371" s="465">
        <v>0.26</v>
      </c>
      <c r="E371" s="465">
        <v>0.156</v>
      </c>
      <c r="F371" s="465">
        <v>0.10199999999999999</v>
      </c>
      <c r="G371" s="465">
        <v>8.6999999999999994E-2</v>
      </c>
      <c r="H371" s="465">
        <v>6.9000000000000006E-2</v>
      </c>
      <c r="I371" s="465">
        <v>5.3999999999999999E-2</v>
      </c>
      <c r="J371" s="465">
        <v>4.1000000000000002E-2</v>
      </c>
      <c r="K371" s="584">
        <f t="shared" si="90"/>
        <v>0.30199999999999999</v>
      </c>
      <c r="L371" s="211">
        <f>IF(L$366=10,C371,HLOOKUP($L$366,$D$366:$J$371,6,TRUE))</f>
        <v>0.30199999999999999</v>
      </c>
      <c r="M371" s="619">
        <f>IF(M$366=10,C371,HLOOKUP($M$366,$D$366:$J$371,6,TRUE))</f>
        <v>0.30199999999999999</v>
      </c>
      <c r="N371" s="541"/>
      <c r="O371" s="541"/>
      <c r="P371" s="541"/>
      <c r="Q371" s="541"/>
      <c r="R371" s="541"/>
      <c r="S371" s="541"/>
      <c r="T371" s="541"/>
      <c r="U371" s="541"/>
      <c r="V371" s="541"/>
      <c r="W371" s="541"/>
    </row>
    <row r="372" spans="1:23" ht="12.75" hidden="1" customHeight="1" x14ac:dyDescent="0.25">
      <c r="A372" s="48" t="s">
        <v>932</v>
      </c>
      <c r="B372" s="48"/>
      <c r="C372" s="48"/>
      <c r="D372" s="48"/>
      <c r="E372" s="48"/>
      <c r="F372" s="48"/>
      <c r="G372" s="48"/>
      <c r="H372" s="48"/>
      <c r="I372" s="48"/>
      <c r="J372" s="48"/>
      <c r="K372" s="48"/>
      <c r="L372" s="48"/>
      <c r="M372" s="48"/>
      <c r="N372" s="48"/>
      <c r="O372" s="48"/>
      <c r="P372" s="48"/>
      <c r="Q372" s="48"/>
      <c r="R372" s="48"/>
      <c r="S372" s="48"/>
      <c r="T372" s="48"/>
      <c r="U372" s="48"/>
      <c r="V372" s="48"/>
      <c r="W372" s="48"/>
    </row>
    <row r="373" spans="1:23" ht="15.4"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row>
    <row r="374" spans="1:23" ht="15.4" customHeight="1" x14ac:dyDescent="0.25">
      <c r="A374" s="1286" t="s">
        <v>360</v>
      </c>
      <c r="B374" s="1286"/>
      <c r="C374" s="1286"/>
      <c r="D374" s="1286"/>
      <c r="E374" s="1286"/>
      <c r="F374" s="1286"/>
      <c r="G374" s="1286"/>
      <c r="H374" s="1286"/>
      <c r="I374" s="1286"/>
      <c r="J374" s="1286"/>
      <c r="K374" s="1286"/>
      <c r="L374" s="1286"/>
      <c r="M374" s="1286"/>
      <c r="N374" s="48"/>
      <c r="O374" s="48"/>
      <c r="P374" s="48"/>
      <c r="Q374" s="48"/>
      <c r="R374" s="48"/>
      <c r="S374" s="48"/>
      <c r="T374" s="48"/>
      <c r="U374" s="48"/>
      <c r="V374" s="48"/>
      <c r="W374" s="48"/>
    </row>
    <row r="375" spans="1:23" ht="15.4" customHeight="1" x14ac:dyDescent="0.25">
      <c r="A375" s="48"/>
      <c r="B375" s="48"/>
      <c r="C375" s="48"/>
      <c r="D375" s="48"/>
      <c r="E375" s="48"/>
      <c r="F375" s="48"/>
      <c r="G375" s="48"/>
      <c r="H375" s="48"/>
      <c r="I375" s="1269" t="s">
        <v>681</v>
      </c>
      <c r="J375" s="1269"/>
      <c r="K375" s="1269"/>
      <c r="L375" s="1269"/>
      <c r="M375" s="1269"/>
      <c r="N375" s="817"/>
      <c r="O375" s="48"/>
      <c r="P375" s="48"/>
      <c r="Q375" s="48"/>
      <c r="R375" s="48"/>
      <c r="S375" s="48"/>
      <c r="T375" s="48"/>
      <c r="U375" s="48"/>
      <c r="V375" s="48"/>
      <c r="W375" s="48"/>
    </row>
    <row r="376" spans="1:23" ht="12.75" hidden="1" customHeight="1" x14ac:dyDescent="0.25">
      <c r="A376" s="48" t="s">
        <v>532</v>
      </c>
      <c r="B376" s="48"/>
      <c r="C376" s="48"/>
      <c r="D376" s="48"/>
      <c r="E376" s="48"/>
      <c r="F376" s="48"/>
      <c r="G376" s="48"/>
      <c r="H376" s="48"/>
      <c r="I376" s="48"/>
      <c r="J376" s="48"/>
      <c r="K376" s="48"/>
      <c r="L376" s="48"/>
      <c r="M376" s="48" t="s">
        <v>1080</v>
      </c>
      <c r="N376" s="48"/>
      <c r="O376" s="48"/>
      <c r="P376" s="48"/>
      <c r="Q376" s="48"/>
      <c r="R376" s="48"/>
      <c r="S376" s="48"/>
      <c r="T376" s="48"/>
      <c r="U376" s="48"/>
      <c r="V376" s="48"/>
      <c r="W376" s="48"/>
    </row>
    <row r="377" spans="1:23" ht="16.5" customHeight="1" x14ac:dyDescent="0.25">
      <c r="A377" s="1285" t="s">
        <v>172</v>
      </c>
      <c r="B377" s="1285" t="s">
        <v>589</v>
      </c>
      <c r="C377" s="1290" t="s">
        <v>573</v>
      </c>
      <c r="D377" s="1290"/>
      <c r="E377" s="1290"/>
      <c r="F377" s="1290"/>
      <c r="G377" s="1290"/>
      <c r="H377" s="1290"/>
      <c r="I377" s="1290"/>
      <c r="J377" s="1290"/>
      <c r="K377" s="1290"/>
      <c r="L377" s="1290"/>
      <c r="M377" s="1290"/>
      <c r="N377" s="373" t="s">
        <v>823</v>
      </c>
      <c r="O377" s="902" t="s">
        <v>628</v>
      </c>
      <c r="P377" s="13" t="s">
        <v>298</v>
      </c>
      <c r="Q377" s="541"/>
      <c r="R377" s="541"/>
      <c r="S377" s="541"/>
      <c r="T377" s="541"/>
      <c r="U377" s="541"/>
      <c r="V377" s="541"/>
      <c r="W377" s="541"/>
    </row>
    <row r="378" spans="1:23" ht="15.4" customHeight="1" x14ac:dyDescent="0.25">
      <c r="A378" s="1285"/>
      <c r="B378" s="1285"/>
      <c r="C378" s="423" t="s">
        <v>1412</v>
      </c>
      <c r="D378" s="423">
        <v>20</v>
      </c>
      <c r="E378" s="423">
        <v>50</v>
      </c>
      <c r="F378" s="423">
        <v>100</v>
      </c>
      <c r="G378" s="423">
        <v>200</v>
      </c>
      <c r="H378" s="423">
        <v>500</v>
      </c>
      <c r="I378" s="126">
        <v>1000</v>
      </c>
      <c r="J378" s="126">
        <v>2000</v>
      </c>
      <c r="K378" s="126">
        <v>5000</v>
      </c>
      <c r="L378" s="126">
        <v>8000</v>
      </c>
      <c r="M378" s="126">
        <v>10000</v>
      </c>
      <c r="N378" s="373">
        <f>$C$1</f>
        <v>1.1435271830114</v>
      </c>
      <c r="O378" s="902">
        <f>IF(N378&lt;D378,10,IF(N378&gt;M378,M378,HLOOKUP(N378,D378:M378,1)))</f>
        <v>10</v>
      </c>
      <c r="P378" s="13">
        <f>IF(N378&lt;10,10,IF(N378&lt;20,20,IF(N378&gt;M378,M378,INDEX(D378:M378,MATCH(N378,D378:M378,1)+1))))</f>
        <v>10</v>
      </c>
      <c r="Q378" s="541"/>
      <c r="R378" s="541"/>
      <c r="S378" s="541"/>
      <c r="T378" s="541"/>
      <c r="U378" s="541"/>
      <c r="V378" s="541"/>
      <c r="W378" s="541"/>
    </row>
    <row r="379" spans="1:23" ht="15.4" customHeight="1" x14ac:dyDescent="0.25">
      <c r="A379" s="265">
        <v>1</v>
      </c>
      <c r="B379" s="74" t="str">
        <f t="shared" ref="B379:B383" si="91">B48</f>
        <v>Công trình dân dụng</v>
      </c>
      <c r="C379" s="465">
        <v>3.2850000000000001</v>
      </c>
      <c r="D379" s="465">
        <v>2.8530000000000002</v>
      </c>
      <c r="E379" s="465">
        <v>2.4350000000000001</v>
      </c>
      <c r="F379" s="465">
        <v>1.845</v>
      </c>
      <c r="G379" s="465">
        <v>1.546</v>
      </c>
      <c r="H379" s="465">
        <v>1.1879999999999999</v>
      </c>
      <c r="I379" s="465">
        <v>0.79700000000000004</v>
      </c>
      <c r="J379" s="465">
        <v>0.69399999999999995</v>
      </c>
      <c r="K379" s="465">
        <v>0.62</v>
      </c>
      <c r="L379" s="465">
        <v>0.53</v>
      </c>
      <c r="M379" s="465">
        <v>0.47799999999999998</v>
      </c>
      <c r="N379" s="584">
        <f t="shared" ref="N379:N383" si="92">IF(P$378=O$378,O379,ROUND(O379-((O379-P379)/(P$378-O$378))*(N$378-O$378),3))</f>
        <v>3.2850000000000001</v>
      </c>
      <c r="O379" s="211">
        <f>IF(O$378=10,C379,HLOOKUP($O$378,$D$378:$M$383,2,TRUE))</f>
        <v>3.2850000000000001</v>
      </c>
      <c r="P379" s="619">
        <f>IF(P$378=10,C379,HLOOKUP($P$378,$D$378:$M$383,2,TRUE))</f>
        <v>3.2850000000000001</v>
      </c>
      <c r="Q379" s="541"/>
      <c r="R379" s="541"/>
      <c r="S379" s="541"/>
      <c r="T379" s="541"/>
      <c r="U379" s="541"/>
      <c r="V379" s="541"/>
      <c r="W379" s="541"/>
    </row>
    <row r="380" spans="1:23" ht="15.4" customHeight="1" x14ac:dyDescent="0.25">
      <c r="A380" s="265">
        <v>2</v>
      </c>
      <c r="B380" s="74" t="str">
        <f t="shared" si="91"/>
        <v>Công trình công nghiệp</v>
      </c>
      <c r="C380" s="465">
        <v>3.508</v>
      </c>
      <c r="D380" s="465">
        <v>3.137</v>
      </c>
      <c r="E380" s="465">
        <v>2.5590000000000002</v>
      </c>
      <c r="F380" s="465">
        <v>2.0739999999999998</v>
      </c>
      <c r="G380" s="465">
        <v>1.6040000000000001</v>
      </c>
      <c r="H380" s="465">
        <v>1.3009999999999999</v>
      </c>
      <c r="I380" s="465">
        <v>0.82299999999999995</v>
      </c>
      <c r="J380" s="465">
        <v>0.71599999999999997</v>
      </c>
      <c r="K380" s="465">
        <v>0.64</v>
      </c>
      <c r="L380" s="465">
        <v>0.55000000000000004</v>
      </c>
      <c r="M380" s="465">
        <v>0.49299999999999999</v>
      </c>
      <c r="N380" s="584">
        <f t="shared" si="92"/>
        <v>3.508</v>
      </c>
      <c r="O380" s="211">
        <f>IF(O$378=10,C380,HLOOKUP($O$378,$D$378:$M$383,3,TRUE))</f>
        <v>3.508</v>
      </c>
      <c r="P380" s="619">
        <f>IF(P$378=10,C380,HLOOKUP($P$378,$D$378:$M$383,3,TRUE))</f>
        <v>3.508</v>
      </c>
      <c r="Q380" s="541"/>
      <c r="R380" s="541"/>
      <c r="S380" s="541"/>
      <c r="T380" s="541"/>
      <c r="U380" s="541"/>
      <c r="V380" s="541"/>
      <c r="W380" s="541"/>
    </row>
    <row r="381" spans="1:23" ht="15.4" customHeight="1" x14ac:dyDescent="0.25">
      <c r="A381" s="265">
        <v>3</v>
      </c>
      <c r="B381" s="74" t="str">
        <f t="shared" si="91"/>
        <v>Công trình giao thông</v>
      </c>
      <c r="C381" s="465">
        <v>3.2029999999999998</v>
      </c>
      <c r="D381" s="465">
        <v>2.7</v>
      </c>
      <c r="E381" s="465">
        <v>2.3559999999999999</v>
      </c>
      <c r="F381" s="465">
        <v>1.714</v>
      </c>
      <c r="G381" s="465">
        <v>1.272</v>
      </c>
      <c r="H381" s="465">
        <v>1.0029999999999999</v>
      </c>
      <c r="I381" s="465">
        <v>0.73099999999999998</v>
      </c>
      <c r="J381" s="465">
        <v>0.63600000000000001</v>
      </c>
      <c r="K381" s="465">
        <v>0.55000000000000004</v>
      </c>
      <c r="L381" s="465">
        <v>0.48</v>
      </c>
      <c r="M381" s="465">
        <v>0.438</v>
      </c>
      <c r="N381" s="584">
        <f t="shared" si="92"/>
        <v>3.2029999999999998</v>
      </c>
      <c r="O381" s="211">
        <f>IF(O$378=10,C381,HLOOKUP($O$378,$D$378:$M$383,4,TRUE))</f>
        <v>3.2029999999999998</v>
      </c>
      <c r="P381" s="619">
        <f>IF(P$378=10,C381,HLOOKUP($P$378,$D$378:$M$383,4,TRUE))</f>
        <v>3.2029999999999998</v>
      </c>
      <c r="Q381" s="541"/>
      <c r="R381" s="541"/>
      <c r="S381" s="541"/>
      <c r="T381" s="541"/>
      <c r="U381" s="541"/>
      <c r="V381" s="541"/>
      <c r="W381" s="541"/>
    </row>
    <row r="382" spans="1:23" ht="15.4" customHeight="1" x14ac:dyDescent="0.25">
      <c r="A382" s="265">
        <v>4</v>
      </c>
      <c r="B382" s="74" t="str">
        <f t="shared" si="91"/>
        <v>Công trình nông nghiệp và phát triển nông thôn</v>
      </c>
      <c r="C382" s="465">
        <v>2.5979999999999999</v>
      </c>
      <c r="D382" s="465">
        <v>2.2919999999999998</v>
      </c>
      <c r="E382" s="465">
        <v>2.0750000000000002</v>
      </c>
      <c r="F382" s="465">
        <v>1.5449999999999999</v>
      </c>
      <c r="G382" s="465">
        <v>1.1890000000000001</v>
      </c>
      <c r="H382" s="465">
        <v>0.95</v>
      </c>
      <c r="I382" s="465">
        <v>0.63100000000000001</v>
      </c>
      <c r="J382" s="465">
        <v>0.55000000000000004</v>
      </c>
      <c r="K382" s="465">
        <v>0.49</v>
      </c>
      <c r="L382" s="465">
        <v>0.42</v>
      </c>
      <c r="M382" s="465">
        <v>0.378</v>
      </c>
      <c r="N382" s="584">
        <f t="shared" si="92"/>
        <v>2.5979999999999999</v>
      </c>
      <c r="O382" s="211">
        <f>IF(O$378=10,C382,HLOOKUP($O$378,$D$378:$M$383,5,TRUE))</f>
        <v>2.5979999999999999</v>
      </c>
      <c r="P382" s="619">
        <f>IF(P$378=10,C382,HLOOKUP($P$378,$D$378:$M$383,5,TRUE))</f>
        <v>2.5979999999999999</v>
      </c>
      <c r="Q382" s="541"/>
      <c r="R382" s="541"/>
      <c r="S382" s="541"/>
      <c r="T382" s="541"/>
      <c r="U382" s="541"/>
      <c r="V382" s="541"/>
      <c r="W382" s="541"/>
    </row>
    <row r="383" spans="1:23" ht="15.4" customHeight="1" x14ac:dyDescent="0.25">
      <c r="A383" s="265">
        <v>5</v>
      </c>
      <c r="B383" s="74" t="str">
        <f t="shared" si="91"/>
        <v>Công trình hạ tầng kỹ thuật</v>
      </c>
      <c r="C383" s="465">
        <v>2.5659999999999998</v>
      </c>
      <c r="D383" s="465">
        <v>2.2559999999999998</v>
      </c>
      <c r="E383" s="465">
        <v>1.984</v>
      </c>
      <c r="F383" s="465">
        <v>1.4610000000000001</v>
      </c>
      <c r="G383" s="465">
        <v>1.1419999999999999</v>
      </c>
      <c r="H383" s="465">
        <v>0.91200000000000003</v>
      </c>
      <c r="I383" s="465">
        <v>0.58399999999999996</v>
      </c>
      <c r="J383" s="465">
        <v>0.50900000000000001</v>
      </c>
      <c r="K383" s="465">
        <v>0.45200000000000001</v>
      </c>
      <c r="L383" s="465">
        <v>0.39</v>
      </c>
      <c r="M383" s="465">
        <v>0.35</v>
      </c>
      <c r="N383" s="584">
        <f t="shared" si="92"/>
        <v>2.5659999999999998</v>
      </c>
      <c r="O383" s="211">
        <f>IF(O$378=10,C383,HLOOKUP($O$378,$D$378:$M$383,6,TRUE))</f>
        <v>2.5659999999999998</v>
      </c>
      <c r="P383" s="619">
        <f>IF(P$378=10,C383,HLOOKUP($P$378,$D$378:$M$383,6,TRUE))</f>
        <v>2.5659999999999998</v>
      </c>
      <c r="Q383" s="541"/>
      <c r="R383" s="541"/>
      <c r="S383" s="541"/>
      <c r="T383" s="541"/>
      <c r="U383" s="541"/>
      <c r="V383" s="541"/>
      <c r="W383" s="541"/>
    </row>
    <row r="384" spans="1:23" ht="12.75" hidden="1" customHeight="1" x14ac:dyDescent="0.25">
      <c r="A384" s="48" t="s">
        <v>559</v>
      </c>
      <c r="B384" s="48"/>
      <c r="C384" s="48"/>
      <c r="D384" s="48"/>
      <c r="E384" s="48"/>
      <c r="F384" s="48"/>
      <c r="G384" s="48"/>
      <c r="H384" s="48"/>
      <c r="I384" s="48"/>
      <c r="J384" s="48"/>
      <c r="K384" s="48"/>
      <c r="L384" s="48"/>
      <c r="M384" s="48"/>
      <c r="N384" s="48"/>
      <c r="O384" s="48"/>
      <c r="P384" s="48"/>
      <c r="Q384" s="48"/>
      <c r="R384" s="48"/>
      <c r="S384" s="48"/>
      <c r="T384" s="48"/>
      <c r="U384" s="48"/>
      <c r="V384" s="48"/>
      <c r="W384" s="48"/>
    </row>
    <row r="385" spans="1:23" ht="15.4"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row>
    <row r="386" spans="1:23" ht="15.4" customHeight="1" x14ac:dyDescent="0.25">
      <c r="A386" s="1272" t="s">
        <v>1238</v>
      </c>
      <c r="B386" s="1272"/>
      <c r="C386" s="1272"/>
      <c r="D386" s="1272"/>
      <c r="E386" s="1272"/>
      <c r="F386" s="1272"/>
      <c r="G386" s="1272"/>
      <c r="H386" s="1272"/>
      <c r="I386" s="1272"/>
      <c r="J386" s="1272"/>
      <c r="K386" s="1272"/>
      <c r="L386" s="1272"/>
      <c r="M386" s="1272"/>
      <c r="N386" s="48"/>
      <c r="O386" s="48"/>
      <c r="P386" s="48"/>
      <c r="Q386" s="48"/>
      <c r="R386" s="48"/>
      <c r="S386" s="48"/>
      <c r="T386" s="48"/>
      <c r="U386" s="48"/>
      <c r="V386" s="48"/>
      <c r="W386" s="48"/>
    </row>
    <row r="387" spans="1:23" ht="15.4" customHeight="1" x14ac:dyDescent="0.25">
      <c r="A387" s="48"/>
      <c r="B387" s="48"/>
      <c r="C387" s="48"/>
      <c r="D387" s="48"/>
      <c r="E387" s="48"/>
      <c r="F387" s="48"/>
      <c r="G387" s="48"/>
      <c r="H387" s="48"/>
      <c r="I387" s="1269" t="s">
        <v>681</v>
      </c>
      <c r="J387" s="1269"/>
      <c r="K387" s="1269"/>
      <c r="L387" s="1269"/>
      <c r="M387" s="1269"/>
      <c r="N387" s="817"/>
      <c r="O387" s="48"/>
      <c r="P387" s="48"/>
      <c r="Q387" s="48"/>
      <c r="R387" s="48"/>
      <c r="S387" s="48"/>
      <c r="T387" s="48"/>
      <c r="U387" s="48"/>
      <c r="V387" s="48"/>
      <c r="W387" s="48"/>
    </row>
    <row r="388" spans="1:23" ht="12.75" hidden="1" customHeight="1" x14ac:dyDescent="0.25">
      <c r="A388" s="48" t="s">
        <v>140</v>
      </c>
      <c r="B388" s="48"/>
      <c r="C388" s="48"/>
      <c r="D388" s="48"/>
      <c r="E388" s="48"/>
      <c r="F388" s="48"/>
      <c r="G388" s="48"/>
      <c r="H388" s="48"/>
      <c r="I388" s="48"/>
      <c r="J388" s="48"/>
      <c r="K388" s="48"/>
      <c r="L388" s="48"/>
      <c r="M388" s="48" t="s">
        <v>1080</v>
      </c>
      <c r="N388" s="48"/>
      <c r="O388" s="48"/>
      <c r="P388" s="48"/>
      <c r="Q388" s="48"/>
      <c r="R388" s="48"/>
      <c r="S388" s="48"/>
      <c r="T388" s="48"/>
      <c r="U388" s="48"/>
      <c r="V388" s="48"/>
      <c r="W388" s="48"/>
    </row>
    <row r="389" spans="1:23" ht="16.5" customHeight="1" x14ac:dyDescent="0.25">
      <c r="A389" s="1279" t="s">
        <v>172</v>
      </c>
      <c r="B389" s="1279" t="s">
        <v>589</v>
      </c>
      <c r="C389" s="1291" t="s">
        <v>631</v>
      </c>
      <c r="D389" s="1291"/>
      <c r="E389" s="1291"/>
      <c r="F389" s="1291"/>
      <c r="G389" s="1291"/>
      <c r="H389" s="1291"/>
      <c r="I389" s="1291"/>
      <c r="J389" s="1291"/>
      <c r="K389" s="1291"/>
      <c r="L389" s="1291"/>
      <c r="M389" s="1291"/>
      <c r="N389" s="539" t="s">
        <v>823</v>
      </c>
      <c r="O389" s="178" t="s">
        <v>628</v>
      </c>
      <c r="P389" s="195" t="s">
        <v>298</v>
      </c>
      <c r="Q389" s="48"/>
      <c r="R389" s="48"/>
      <c r="S389" s="48"/>
      <c r="T389" s="48"/>
      <c r="U389" s="48"/>
      <c r="V389" s="48"/>
      <c r="W389" s="48"/>
    </row>
    <row r="390" spans="1:23" ht="15.4" customHeight="1" x14ac:dyDescent="0.25">
      <c r="A390" s="1279"/>
      <c r="B390" s="1279"/>
      <c r="C390" s="50" t="s">
        <v>1412</v>
      </c>
      <c r="D390" s="50">
        <v>20</v>
      </c>
      <c r="E390" s="50">
        <v>50</v>
      </c>
      <c r="F390" s="50">
        <v>100</v>
      </c>
      <c r="G390" s="50">
        <v>200</v>
      </c>
      <c r="H390" s="50">
        <v>500</v>
      </c>
      <c r="I390" s="142">
        <v>1000</v>
      </c>
      <c r="J390" s="142">
        <v>2000</v>
      </c>
      <c r="K390" s="142">
        <v>5000</v>
      </c>
      <c r="L390" s="142">
        <v>8000</v>
      </c>
      <c r="M390" s="142">
        <v>10000</v>
      </c>
      <c r="N390" s="539">
        <f>$C$2</f>
        <v>0</v>
      </c>
      <c r="O390" s="178">
        <f>IF(N390&lt;D390,10,IF(N390&gt;M390,M390,HLOOKUP(N390,D390:M390,1)))</f>
        <v>10</v>
      </c>
      <c r="P390" s="195">
        <f>IF(N390&lt;10,10,IF(N390&lt;20,20,IF(N390&gt;M390,M390,INDEX(D390:M390,MATCH(N390,D390:M390,1)+1))))</f>
        <v>10</v>
      </c>
      <c r="Q390" s="48"/>
      <c r="R390" s="48"/>
      <c r="S390" s="48"/>
      <c r="T390" s="48"/>
      <c r="U390" s="48"/>
      <c r="V390" s="48"/>
      <c r="W390" s="48"/>
    </row>
    <row r="391" spans="1:23" ht="15.4" customHeight="1" x14ac:dyDescent="0.25">
      <c r="A391" s="612">
        <v>1</v>
      </c>
      <c r="B391" s="426" t="str">
        <f t="shared" ref="B391:B395" si="93">B48</f>
        <v>Công trình dân dụng</v>
      </c>
      <c r="C391" s="56">
        <v>0.84399999999999997</v>
      </c>
      <c r="D391" s="56">
        <v>0.71499999999999997</v>
      </c>
      <c r="E391" s="56">
        <v>0.59599999999999997</v>
      </c>
      <c r="F391" s="56">
        <v>0.39400000000000002</v>
      </c>
      <c r="G391" s="56">
        <v>0.30499999999999999</v>
      </c>
      <c r="H391" s="56">
        <v>0.26100000000000001</v>
      </c>
      <c r="I391" s="56">
        <v>0.17599999999999999</v>
      </c>
      <c r="J391" s="56">
        <v>0.153</v>
      </c>
      <c r="K391" s="56">
        <v>0.13200000000000001</v>
      </c>
      <c r="L391" s="56">
        <v>0.112</v>
      </c>
      <c r="M391" s="56">
        <v>0.11</v>
      </c>
      <c r="N391" s="903">
        <f t="shared" ref="N391:N395" si="94">IF(P$390=O$390,O391,ROUND(O391-((O391-P391)/(P$390-O$390))*(N$390-O$390),3))</f>
        <v>0.84399999999999997</v>
      </c>
      <c r="O391" s="560">
        <f>IF(O$390=10,C391,HLOOKUP($O$390,$D$390:$M$395,2,TRUE))</f>
        <v>0.84399999999999997</v>
      </c>
      <c r="P391" s="36">
        <f>IF(P$390=10,C391,HLOOKUP($P$390,$D$390:$M$395,2,TRUE))</f>
        <v>0.84399999999999997</v>
      </c>
      <c r="Q391" s="48"/>
      <c r="R391" s="48"/>
      <c r="S391" s="48"/>
      <c r="T391" s="48"/>
      <c r="U391" s="48"/>
      <c r="V391" s="48"/>
      <c r="W391" s="48"/>
    </row>
    <row r="392" spans="1:23" ht="15.4" customHeight="1" x14ac:dyDescent="0.25">
      <c r="A392" s="612">
        <v>2</v>
      </c>
      <c r="B392" s="426" t="str">
        <f t="shared" si="93"/>
        <v>Công trình công nghiệp</v>
      </c>
      <c r="C392" s="56">
        <v>1.147</v>
      </c>
      <c r="D392" s="56">
        <v>1.0049999999999999</v>
      </c>
      <c r="E392" s="56">
        <v>0.95799999999999996</v>
      </c>
      <c r="F392" s="56">
        <v>0.81100000000000005</v>
      </c>
      <c r="G392" s="56">
        <v>0.49</v>
      </c>
      <c r="H392" s="56">
        <v>0.42199999999999999</v>
      </c>
      <c r="I392" s="56">
        <v>0.35599999999999998</v>
      </c>
      <c r="J392" s="56">
        <v>0.309</v>
      </c>
      <c r="K392" s="56">
        <v>0.27</v>
      </c>
      <c r="L392" s="56">
        <v>0.23</v>
      </c>
      <c r="M392" s="56">
        <v>0.21</v>
      </c>
      <c r="N392" s="903">
        <f t="shared" si="94"/>
        <v>1.147</v>
      </c>
      <c r="O392" s="560">
        <f>IF(O$390=10,C392,HLOOKUP($O$390,$D$390:$M$395,3,TRUE))</f>
        <v>1.147</v>
      </c>
      <c r="P392" s="36">
        <f>IF(P$390=10,C392,HLOOKUP($P$390,$D$390:$M$395,3,TRUE))</f>
        <v>1.147</v>
      </c>
      <c r="Q392" s="48"/>
      <c r="R392" s="48"/>
      <c r="S392" s="48"/>
      <c r="T392" s="48"/>
      <c r="U392" s="48"/>
      <c r="V392" s="48"/>
      <c r="W392" s="48"/>
    </row>
    <row r="393" spans="1:23" ht="15.4" customHeight="1" x14ac:dyDescent="0.25">
      <c r="A393" s="612">
        <v>3</v>
      </c>
      <c r="B393" s="426" t="str">
        <f t="shared" si="93"/>
        <v>Công trình giao thông</v>
      </c>
      <c r="C393" s="56">
        <v>0.67700000000000005</v>
      </c>
      <c r="D393" s="56">
        <v>0.57999999999999996</v>
      </c>
      <c r="E393" s="56">
        <v>0.48599999999999999</v>
      </c>
      <c r="F393" s="56">
        <v>0.32</v>
      </c>
      <c r="G393" s="56">
        <v>0.26100000000000001</v>
      </c>
      <c r="H393" s="56">
        <v>0.217</v>
      </c>
      <c r="I393" s="56">
        <v>0.14599999999999999</v>
      </c>
      <c r="J393" s="56">
        <v>0.127</v>
      </c>
      <c r="K393" s="56">
        <v>0.11</v>
      </c>
      <c r="L393" s="56">
        <v>9.1999999999999998E-2</v>
      </c>
      <c r="M393" s="56">
        <v>8.5000000000000006E-2</v>
      </c>
      <c r="N393" s="903">
        <f t="shared" si="94"/>
        <v>0.67700000000000005</v>
      </c>
      <c r="O393" s="560">
        <f>IF(O$390=10,C393,HLOOKUP($O$390,$D$390:$M$395,4,TRUE))</f>
        <v>0.67700000000000005</v>
      </c>
      <c r="P393" s="36">
        <f>IF(P$390=10,C393,HLOOKUP($P$390,$D$390:$M$395,4,TRUE))</f>
        <v>0.67700000000000005</v>
      </c>
      <c r="Q393" s="48"/>
      <c r="R393" s="48"/>
      <c r="S393" s="48"/>
      <c r="T393" s="48"/>
      <c r="U393" s="48"/>
      <c r="V393" s="48"/>
      <c r="W393" s="48"/>
    </row>
    <row r="394" spans="1:23" ht="15.4" customHeight="1" x14ac:dyDescent="0.25">
      <c r="A394" s="612">
        <v>4</v>
      </c>
      <c r="B394" s="426" t="str">
        <f t="shared" si="93"/>
        <v>Công trình nông nghiệp và phát triển nông thôn</v>
      </c>
      <c r="C394" s="56">
        <v>0.71799999999999997</v>
      </c>
      <c r="D394" s="56">
        <v>0.58499999999999996</v>
      </c>
      <c r="E394" s="56">
        <v>0.52</v>
      </c>
      <c r="F394" s="56">
        <v>0.34399999999999997</v>
      </c>
      <c r="G394" s="56">
        <v>0.27600000000000002</v>
      </c>
      <c r="H394" s="56">
        <v>0.23200000000000001</v>
      </c>
      <c r="I394" s="56">
        <v>0.159</v>
      </c>
      <c r="J394" s="56">
        <v>0.13800000000000001</v>
      </c>
      <c r="K394" s="56">
        <v>0.12</v>
      </c>
      <c r="L394" s="56">
        <v>9.8000000000000004E-2</v>
      </c>
      <c r="M394" s="56">
        <v>9.0999999999999998E-2</v>
      </c>
      <c r="N394" s="903">
        <f t="shared" si="94"/>
        <v>0.71799999999999997</v>
      </c>
      <c r="O394" s="560">
        <f>IF(O$390=10,C394,HLOOKUP($O$390,$D$390:$M$395,5,TRUE))</f>
        <v>0.71799999999999997</v>
      </c>
      <c r="P394" s="36">
        <f>IF(P$390=10,C394,HLOOKUP($P$390,$D$390:$M$395,5,TRUE))</f>
        <v>0.71799999999999997</v>
      </c>
      <c r="Q394" s="48"/>
      <c r="R394" s="48"/>
      <c r="S394" s="48"/>
      <c r="T394" s="48"/>
      <c r="U394" s="48"/>
      <c r="V394" s="48"/>
      <c r="W394" s="48"/>
    </row>
    <row r="395" spans="1:23" ht="15.4" customHeight="1" x14ac:dyDescent="0.25">
      <c r="A395" s="612">
        <v>5</v>
      </c>
      <c r="B395" s="426" t="str">
        <f t="shared" si="93"/>
        <v>Công trình hạ tầng kỹ thuật</v>
      </c>
      <c r="C395" s="56">
        <v>0.80300000000000005</v>
      </c>
      <c r="D395" s="56">
        <v>0.69</v>
      </c>
      <c r="E395" s="56">
        <v>0.57499999999999996</v>
      </c>
      <c r="F395" s="56">
        <v>0.38300000000000001</v>
      </c>
      <c r="G395" s="56">
        <v>0.3</v>
      </c>
      <c r="H395" s="56">
        <v>0.26100000000000001</v>
      </c>
      <c r="I395" s="56">
        <v>0.17299999999999999</v>
      </c>
      <c r="J395" s="56">
        <v>0.15</v>
      </c>
      <c r="K395" s="56">
        <v>0.126</v>
      </c>
      <c r="L395" s="56">
        <v>0.105</v>
      </c>
      <c r="M395" s="56">
        <v>9.5000000000000001E-2</v>
      </c>
      <c r="N395" s="903">
        <f t="shared" si="94"/>
        <v>0.80300000000000005</v>
      </c>
      <c r="O395" s="560">
        <f>IF(O$390=10,C395,HLOOKUP($O$390,$D$390:$M$395,6,TRUE))</f>
        <v>0.80300000000000005</v>
      </c>
      <c r="P395" s="36">
        <f>IF(P$390=10,C395,HLOOKUP($P$390,$D$390:$M$395,6,TRUE))</f>
        <v>0.80300000000000005</v>
      </c>
      <c r="Q395" s="48"/>
      <c r="R395" s="48"/>
      <c r="S395" s="48"/>
      <c r="T395" s="48"/>
      <c r="U395" s="48"/>
      <c r="V395" s="48"/>
      <c r="W395" s="48"/>
    </row>
    <row r="396" spans="1:23" ht="12.75" hidden="1" customHeight="1" x14ac:dyDescent="0.25">
      <c r="A396" s="48" t="s">
        <v>163</v>
      </c>
      <c r="B396" s="48"/>
      <c r="C396" s="48"/>
      <c r="D396" s="48"/>
      <c r="E396" s="48"/>
      <c r="F396" s="48"/>
      <c r="G396" s="48"/>
      <c r="H396" s="48"/>
      <c r="I396" s="48"/>
      <c r="J396" s="48"/>
      <c r="K396" s="48"/>
      <c r="L396" s="48"/>
      <c r="M396" s="48"/>
      <c r="N396" s="48"/>
      <c r="O396" s="48"/>
      <c r="P396" s="48"/>
      <c r="Q396" s="48"/>
      <c r="R396" s="48"/>
      <c r="S396" s="48"/>
      <c r="T396" s="48"/>
      <c r="U396" s="48"/>
      <c r="V396" s="48"/>
      <c r="W396" s="48"/>
    </row>
    <row r="397" spans="1:23" ht="15.4"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row>
    <row r="398" spans="1:23" ht="15.4" customHeight="1" x14ac:dyDescent="0.25">
      <c r="A398" s="1272" t="s">
        <v>697</v>
      </c>
      <c r="B398" s="1272"/>
      <c r="C398" s="1272"/>
      <c r="D398" s="1272"/>
      <c r="E398" s="1272"/>
      <c r="F398" s="1272"/>
      <c r="G398" s="1272"/>
      <c r="H398" s="1272"/>
      <c r="I398" s="1272"/>
      <c r="J398" s="1272"/>
      <c r="K398" s="1272"/>
      <c r="L398" s="1272"/>
      <c r="M398" s="1272"/>
      <c r="N398" s="48"/>
      <c r="O398" s="48"/>
      <c r="P398" s="48"/>
      <c r="Q398" s="48"/>
      <c r="R398" s="48"/>
      <c r="S398" s="48"/>
      <c r="T398" s="48"/>
      <c r="U398" s="48"/>
      <c r="V398" s="48"/>
      <c r="W398" s="48"/>
    </row>
    <row r="399" spans="1:23" ht="15.4" customHeight="1" x14ac:dyDescent="0.25">
      <c r="A399" s="48"/>
      <c r="B399" s="48"/>
      <c r="C399" s="48"/>
      <c r="D399" s="48"/>
      <c r="E399" s="48"/>
      <c r="F399" s="1269" t="s">
        <v>681</v>
      </c>
      <c r="G399" s="1269"/>
      <c r="H399" s="48"/>
      <c r="I399" s="817"/>
      <c r="J399" s="817"/>
      <c r="K399" s="817"/>
      <c r="L399" s="817"/>
      <c r="M399" s="817"/>
      <c r="N399" s="817"/>
      <c r="O399" s="48"/>
      <c r="P399" s="48"/>
      <c r="Q399" s="48"/>
      <c r="R399" s="48"/>
      <c r="S399" s="48"/>
      <c r="T399" s="48"/>
      <c r="U399" s="48"/>
      <c r="V399" s="48"/>
      <c r="W399" s="48"/>
    </row>
    <row r="400" spans="1:23" ht="12.75" hidden="1" customHeight="1" x14ac:dyDescent="0.25">
      <c r="A400" s="48" t="s">
        <v>1381</v>
      </c>
      <c r="B400" s="48"/>
      <c r="C400" s="48"/>
      <c r="D400" s="48"/>
      <c r="E400" s="48"/>
      <c r="F400" s="48"/>
      <c r="G400" s="48" t="s">
        <v>1080</v>
      </c>
      <c r="H400" s="48"/>
      <c r="I400" s="48"/>
      <c r="J400" s="48"/>
      <c r="K400" s="48"/>
      <c r="L400" s="48"/>
      <c r="M400" s="48"/>
      <c r="N400" s="48"/>
      <c r="O400" s="48"/>
      <c r="P400" s="48"/>
      <c r="Q400" s="48"/>
      <c r="R400" s="48"/>
      <c r="S400" s="48"/>
      <c r="T400" s="48"/>
      <c r="U400" s="48"/>
      <c r="V400" s="48"/>
      <c r="W400" s="48"/>
    </row>
    <row r="401" spans="1:23" ht="33" customHeight="1" x14ac:dyDescent="0.25">
      <c r="A401" s="1279" t="s">
        <v>172</v>
      </c>
      <c r="B401" s="1279" t="s">
        <v>589</v>
      </c>
      <c r="C401" s="1277" t="s">
        <v>13</v>
      </c>
      <c r="D401" s="1278"/>
      <c r="E401" s="1278"/>
      <c r="F401" s="1278"/>
      <c r="G401" s="1278"/>
      <c r="H401" s="539" t="s">
        <v>823</v>
      </c>
      <c r="I401" s="178" t="s">
        <v>628</v>
      </c>
      <c r="J401" s="195" t="s">
        <v>298</v>
      </c>
      <c r="K401" s="118"/>
      <c r="L401" s="118"/>
      <c r="M401" s="118"/>
      <c r="N401" s="48"/>
      <c r="O401" s="48"/>
      <c r="P401" s="48"/>
      <c r="Q401" s="48"/>
      <c r="R401" s="48"/>
      <c r="S401" s="48"/>
      <c r="T401" s="48"/>
      <c r="U401" s="48"/>
      <c r="V401" s="48"/>
      <c r="W401" s="48"/>
    </row>
    <row r="402" spans="1:23" ht="15.4" customHeight="1" x14ac:dyDescent="0.25">
      <c r="A402" s="1279"/>
      <c r="B402" s="1279"/>
      <c r="C402" s="50" t="s">
        <v>985</v>
      </c>
      <c r="D402" s="50">
        <v>5</v>
      </c>
      <c r="E402" s="50">
        <v>10</v>
      </c>
      <c r="F402" s="50">
        <v>20</v>
      </c>
      <c r="G402" s="50">
        <v>50</v>
      </c>
      <c r="H402" s="539">
        <f>$C$8</f>
        <v>0</v>
      </c>
      <c r="I402" s="178">
        <f>IF(H402&lt;D402,1,IF(H402&gt;G402,G402,HLOOKUP(H402,D402:G402,1)))</f>
        <v>1</v>
      </c>
      <c r="J402" s="195">
        <f>IF(H402&lt;1,1,IF(H402&lt;5,5,IF(H402&gt;G402,G402,INDEX(D402:G402,MATCH(H402,D402:G402,1)+1))))</f>
        <v>1</v>
      </c>
      <c r="K402" s="518"/>
      <c r="L402" s="518"/>
      <c r="M402" s="518"/>
      <c r="N402" s="48"/>
      <c r="O402" s="48"/>
      <c r="P402" s="48"/>
      <c r="Q402" s="48"/>
      <c r="R402" s="48"/>
      <c r="S402" s="48"/>
      <c r="T402" s="48"/>
      <c r="U402" s="48"/>
      <c r="V402" s="48"/>
      <c r="W402" s="48"/>
    </row>
    <row r="403" spans="1:23" ht="15.4" customHeight="1" x14ac:dyDescent="0.25">
      <c r="A403" s="612">
        <v>1</v>
      </c>
      <c r="B403" s="426" t="s">
        <v>1207</v>
      </c>
      <c r="C403" s="56">
        <v>4.0720000000000001</v>
      </c>
      <c r="D403" s="56">
        <v>3.5409999999999999</v>
      </c>
      <c r="E403" s="56">
        <v>3.0790000000000002</v>
      </c>
      <c r="F403" s="56">
        <v>2.7069999999999999</v>
      </c>
      <c r="G403" s="56">
        <v>2.3809999999999998</v>
      </c>
      <c r="H403" s="903">
        <f>IF(J$402=I$402,I403,ROUND(I403-((I403-J403)/(J$402-I$402))*(H$402-I$402),3))</f>
        <v>4.0720000000000001</v>
      </c>
      <c r="I403" s="560">
        <f>IF(I$402=1,C403,HLOOKUP($I$402,$D$402:$G$403,2,TRUE))</f>
        <v>4.0720000000000001</v>
      </c>
      <c r="J403" s="36">
        <f>IF(J$402=1,C403,HLOOKUP($J$402,$D$402:$G$403,2,TRUE))</f>
        <v>4.0720000000000001</v>
      </c>
      <c r="K403" s="434"/>
      <c r="L403" s="434"/>
      <c r="M403" s="434"/>
      <c r="N403" s="48"/>
      <c r="O403" s="48"/>
      <c r="P403" s="48"/>
      <c r="Q403" s="48"/>
      <c r="R403" s="48"/>
      <c r="S403" s="48"/>
      <c r="T403" s="48"/>
      <c r="U403" s="48"/>
      <c r="V403" s="48"/>
      <c r="W403" s="48"/>
    </row>
    <row r="404" spans="1:23" ht="15.4" customHeight="1" x14ac:dyDescent="0.25">
      <c r="A404" s="48" t="s">
        <v>1407</v>
      </c>
      <c r="B404" s="48"/>
      <c r="C404" s="48"/>
      <c r="D404" s="48"/>
      <c r="E404" s="48"/>
      <c r="F404" s="48"/>
      <c r="G404" s="48"/>
      <c r="H404" s="48"/>
      <c r="I404" s="48"/>
      <c r="J404" s="48"/>
      <c r="K404" s="48"/>
      <c r="L404" s="48"/>
      <c r="M404" s="48"/>
      <c r="N404" s="48"/>
      <c r="O404" s="48"/>
      <c r="P404" s="48"/>
      <c r="Q404" s="48"/>
      <c r="R404" s="48"/>
      <c r="S404" s="48"/>
      <c r="T404" s="48"/>
      <c r="U404" s="48"/>
      <c r="V404" s="48"/>
      <c r="W404" s="48"/>
    </row>
    <row r="405" spans="1:23" ht="15.4"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row>
    <row r="406" spans="1:23" ht="15.4" customHeight="1" x14ac:dyDescent="0.25">
      <c r="A406" s="1133" t="s">
        <v>593</v>
      </c>
      <c r="B406" s="1133"/>
      <c r="C406" s="1133"/>
      <c r="D406" s="1133"/>
      <c r="E406" s="1133"/>
      <c r="F406" s="1133"/>
      <c r="G406" s="1133"/>
      <c r="H406" s="1133"/>
      <c r="I406" s="1133"/>
      <c r="J406" s="1133"/>
      <c r="K406" s="1133"/>
      <c r="L406" s="1133"/>
      <c r="M406" s="1133"/>
      <c r="N406" s="1133"/>
      <c r="O406" s="48"/>
      <c r="P406" s="48"/>
      <c r="Q406" s="48"/>
      <c r="R406" s="48"/>
      <c r="S406" s="48"/>
      <c r="T406" s="48"/>
      <c r="U406" s="48"/>
      <c r="V406" s="48"/>
      <c r="W406" s="48"/>
    </row>
    <row r="407" spans="1:23" ht="42" customHeight="1" x14ac:dyDescent="0.25">
      <c r="A407" s="1284" t="s">
        <v>128</v>
      </c>
      <c r="B407" s="1284"/>
      <c r="C407" s="1284"/>
      <c r="D407" s="1284"/>
      <c r="E407" s="1284"/>
      <c r="F407" s="1284"/>
      <c r="G407" s="1284"/>
      <c r="H407" s="1284"/>
      <c r="I407" s="1284"/>
      <c r="J407" s="1284"/>
      <c r="K407" s="1284"/>
      <c r="L407" s="1284"/>
      <c r="M407" s="1284"/>
      <c r="N407" s="1284"/>
      <c r="O407" s="48"/>
      <c r="P407" s="48"/>
      <c r="Q407" s="48"/>
      <c r="R407" s="48"/>
      <c r="S407" s="48"/>
      <c r="T407" s="48"/>
      <c r="U407" s="48"/>
      <c r="V407" s="48"/>
      <c r="W407" s="48"/>
    </row>
    <row r="408" spans="1:23" ht="15.4"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row>
    <row r="409" spans="1:23" ht="15.4" customHeight="1" x14ac:dyDescent="0.25">
      <c r="A409" s="1283" t="s">
        <v>805</v>
      </c>
      <c r="B409" s="1283"/>
      <c r="C409" s="1283"/>
      <c r="D409" s="1283"/>
      <c r="E409" s="1283"/>
      <c r="F409" s="1283"/>
      <c r="G409" s="1283"/>
      <c r="H409" s="1283"/>
      <c r="I409" s="1283"/>
      <c r="J409" s="1283"/>
      <c r="K409" s="1283"/>
      <c r="L409" s="1283"/>
      <c r="M409" s="1283"/>
      <c r="N409" s="1283"/>
      <c r="O409" s="681"/>
      <c r="P409" s="48"/>
      <c r="Q409" s="48"/>
      <c r="R409" s="48"/>
      <c r="S409" s="48"/>
      <c r="T409" s="48"/>
      <c r="U409" s="48"/>
      <c r="V409" s="48"/>
      <c r="W409" s="48"/>
    </row>
    <row r="410" spans="1:23" ht="15.4" customHeight="1" x14ac:dyDescent="0.25">
      <c r="A410" s="48"/>
      <c r="B410" s="48"/>
      <c r="C410" s="48"/>
      <c r="D410" s="48"/>
      <c r="E410" s="48"/>
      <c r="F410" s="48"/>
      <c r="G410" s="48"/>
      <c r="H410" s="48"/>
      <c r="I410" s="1133" t="s">
        <v>681</v>
      </c>
      <c r="J410" s="1133"/>
      <c r="K410" s="1133"/>
      <c r="L410" s="817"/>
      <c r="M410" s="817"/>
      <c r="N410" s="817"/>
      <c r="O410" s="48"/>
      <c r="P410" s="48"/>
      <c r="Q410" s="48"/>
      <c r="R410" s="48"/>
      <c r="S410" s="48"/>
      <c r="T410" s="48"/>
      <c r="U410" s="48"/>
      <c r="V410" s="48"/>
      <c r="W410" s="48"/>
    </row>
    <row r="411" spans="1:23" ht="12.75" hidden="1" customHeight="1" x14ac:dyDescent="0.25">
      <c r="A411" s="48" t="s">
        <v>1166</v>
      </c>
      <c r="B411" s="48"/>
      <c r="C411" s="48"/>
      <c r="D411" s="48"/>
      <c r="E411" s="48"/>
      <c r="F411" s="48"/>
      <c r="G411" s="48"/>
      <c r="H411" s="48" t="s">
        <v>1080</v>
      </c>
      <c r="I411" s="48"/>
      <c r="J411" s="48"/>
      <c r="K411" s="48"/>
      <c r="L411" s="48"/>
      <c r="M411" s="48"/>
      <c r="N411" s="48"/>
      <c r="O411" s="48"/>
      <c r="P411" s="48"/>
      <c r="Q411" s="48"/>
      <c r="R411" s="48"/>
      <c r="S411" s="48"/>
      <c r="T411" s="48"/>
      <c r="U411" s="48"/>
      <c r="V411" s="48"/>
      <c r="W411" s="48"/>
    </row>
    <row r="412" spans="1:23" ht="46.5" customHeight="1" x14ac:dyDescent="0.25">
      <c r="A412" s="1279" t="s">
        <v>172</v>
      </c>
      <c r="B412" s="1279" t="s">
        <v>589</v>
      </c>
      <c r="C412" s="1277" t="s">
        <v>227</v>
      </c>
      <c r="D412" s="1278"/>
      <c r="E412" s="1278"/>
      <c r="F412" s="1278"/>
      <c r="G412" s="1278"/>
      <c r="H412" s="1278"/>
      <c r="I412" s="539" t="s">
        <v>823</v>
      </c>
      <c r="J412" s="178" t="s">
        <v>628</v>
      </c>
      <c r="K412" s="195" t="s">
        <v>298</v>
      </c>
      <c r="L412" s="48"/>
      <c r="M412" s="48"/>
      <c r="N412" s="48"/>
      <c r="O412" s="48"/>
      <c r="P412" s="48"/>
      <c r="Q412" s="48"/>
      <c r="R412" s="48"/>
      <c r="S412" s="48"/>
      <c r="T412" s="48"/>
      <c r="U412" s="48"/>
      <c r="V412" s="48"/>
      <c r="W412" s="48"/>
    </row>
    <row r="413" spans="1:23" ht="15.4" customHeight="1" x14ac:dyDescent="0.25">
      <c r="A413" s="1279"/>
      <c r="B413" s="1279"/>
      <c r="C413" s="50" t="s">
        <v>106</v>
      </c>
      <c r="D413" s="50">
        <v>100</v>
      </c>
      <c r="E413" s="50">
        <v>500</v>
      </c>
      <c r="F413" s="142">
        <v>1000</v>
      </c>
      <c r="G413" s="142">
        <v>5000</v>
      </c>
      <c r="H413" s="142">
        <v>10000</v>
      </c>
      <c r="I413" s="315">
        <f>$C$7</f>
        <v>1.1435271830114</v>
      </c>
      <c r="J413" s="848">
        <f>IF(I413&lt;D413,15,IF(I413&gt;H413,H413,HLOOKUP(I413,D413:H413,1)))</f>
        <v>15</v>
      </c>
      <c r="K413" s="867">
        <f>IF(I413&lt;15,15,IF(I413&lt;100,100,IF(I413&gt;H413,H413,INDEX(D413:H413,MATCH(I413,D413:H413,1)+1))))</f>
        <v>15</v>
      </c>
      <c r="L413" s="48"/>
      <c r="M413" s="48"/>
      <c r="N413" s="48"/>
      <c r="O413" s="48"/>
      <c r="P413" s="48"/>
      <c r="Q413" s="48"/>
      <c r="R413" s="48"/>
      <c r="S413" s="48"/>
      <c r="T413" s="48"/>
      <c r="U413" s="48"/>
      <c r="V413" s="48"/>
      <c r="W413" s="48"/>
    </row>
    <row r="414" spans="1:23" ht="15.4" customHeight="1" x14ac:dyDescent="0.25">
      <c r="A414" s="612">
        <v>1</v>
      </c>
      <c r="B414" s="426" t="str">
        <f t="shared" ref="B414:B416" si="95">B48</f>
        <v>Công trình dân dụng</v>
      </c>
      <c r="C414" s="350">
        <v>9.6699999999999998E-3</v>
      </c>
      <c r="D414" s="350">
        <v>5.2300000000000003E-3</v>
      </c>
      <c r="E414" s="350">
        <v>2.9099999999999998E-3</v>
      </c>
      <c r="F414" s="350">
        <v>1.9400000000000001E-3</v>
      </c>
      <c r="G414" s="350">
        <v>1.08E-3</v>
      </c>
      <c r="H414" s="350">
        <v>7.2000000000000005E-4</v>
      </c>
      <c r="I414" s="675">
        <f t="shared" ref="I414:I419" si="96">IF(K$413=J$413,J414,ROUND(J414-((J414-K414)/(K$413-J$413))*(I$413-J$413),5))</f>
        <v>9.6699999999999998E-3</v>
      </c>
      <c r="J414" s="304">
        <f>IF(J$413=15,C414,HLOOKUP($J$413,$D$413:$H$417,2,TRUE))</f>
        <v>9.6699999999999998E-3</v>
      </c>
      <c r="K414" s="327">
        <f>IF(K$413=15,C414,HLOOKUP($K$413,$D$413:$I$417,2,TRUE))</f>
        <v>9.6699999999999998E-3</v>
      </c>
      <c r="L414" s="48"/>
      <c r="M414" s="48"/>
      <c r="N414" s="48"/>
      <c r="O414" s="48"/>
      <c r="P414" s="48"/>
      <c r="Q414" s="48"/>
      <c r="R414" s="48"/>
      <c r="S414" s="48"/>
      <c r="T414" s="48"/>
      <c r="U414" s="48"/>
      <c r="V414" s="48"/>
      <c r="W414" s="48"/>
    </row>
    <row r="415" spans="1:23" ht="15.4" customHeight="1" x14ac:dyDescent="0.25">
      <c r="A415" s="612">
        <v>2</v>
      </c>
      <c r="B415" s="426" t="str">
        <f t="shared" si="95"/>
        <v>Công trình công nghiệp</v>
      </c>
      <c r="C415" s="350">
        <v>9.6699999999999998E-3</v>
      </c>
      <c r="D415" s="350">
        <v>5.2300000000000003E-3</v>
      </c>
      <c r="E415" s="350">
        <v>2.9099999999999998E-3</v>
      </c>
      <c r="F415" s="350">
        <v>1.9400000000000001E-3</v>
      </c>
      <c r="G415" s="350">
        <v>1.08E-3</v>
      </c>
      <c r="H415" s="350">
        <v>7.2000000000000005E-4</v>
      </c>
      <c r="I415" s="675">
        <f t="shared" si="96"/>
        <v>9.6699999999999998E-3</v>
      </c>
      <c r="J415" s="304">
        <f>IF(J$413=15,C415,HLOOKUP($J$413,$D$413:$H$417,3,TRUE))</f>
        <v>9.6699999999999998E-3</v>
      </c>
      <c r="K415" s="327">
        <f>IF(K$413=15,C415,HLOOKUP($K$413,$D$413:$I$417,3,TRUE))</f>
        <v>9.6699999999999998E-3</v>
      </c>
      <c r="L415" s="48"/>
      <c r="M415" s="48"/>
      <c r="N415" s="48"/>
      <c r="O415" s="48"/>
      <c r="P415" s="48"/>
      <c r="Q415" s="48"/>
      <c r="R415" s="48"/>
      <c r="S415" s="48"/>
      <c r="T415" s="48"/>
      <c r="U415" s="48"/>
      <c r="V415" s="48"/>
      <c r="W415" s="48"/>
    </row>
    <row r="416" spans="1:23" ht="15.4" customHeight="1" x14ac:dyDescent="0.25">
      <c r="A416" s="612">
        <v>3</v>
      </c>
      <c r="B416" s="426" t="str">
        <f t="shared" si="95"/>
        <v>Công trình giao thông</v>
      </c>
      <c r="C416" s="350">
        <v>6.7099999999999998E-3</v>
      </c>
      <c r="D416" s="350">
        <v>3.63E-3</v>
      </c>
      <c r="E416" s="350">
        <v>2.0200000000000001E-3</v>
      </c>
      <c r="F416" s="350">
        <v>1.3500000000000001E-3</v>
      </c>
      <c r="G416" s="350">
        <v>7.5000000000000002E-4</v>
      </c>
      <c r="H416" s="350">
        <v>5.0000000000000001E-4</v>
      </c>
      <c r="I416" s="675">
        <f t="shared" si="96"/>
        <v>6.7099999999999998E-3</v>
      </c>
      <c r="J416" s="304">
        <f>IF(J$413=15,C416,HLOOKUP($J$413,$D$413:$H$417,4,TRUE))</f>
        <v>6.7099999999999998E-3</v>
      </c>
      <c r="K416" s="327">
        <f>IF(K$413=15,C416,HLOOKUP($K$413,$D$413:$I$417,4,TRUE))</f>
        <v>6.7099999999999998E-3</v>
      </c>
      <c r="L416" s="48"/>
      <c r="M416" s="48"/>
      <c r="N416" s="48"/>
      <c r="O416" s="48"/>
      <c r="P416" s="48"/>
      <c r="Q416" s="48"/>
      <c r="R416" s="48"/>
      <c r="S416" s="48"/>
      <c r="T416" s="48"/>
      <c r="U416" s="48"/>
      <c r="V416" s="48"/>
      <c r="W416" s="48"/>
    </row>
    <row r="417" spans="1:23" ht="15.4" customHeight="1" x14ac:dyDescent="0.25">
      <c r="A417" s="612">
        <v>5</v>
      </c>
      <c r="B417" s="426" t="str">
        <f>B52</f>
        <v>Công trình hạ tầng kỹ thuật</v>
      </c>
      <c r="C417" s="350">
        <v>6.7099999999999998E-3</v>
      </c>
      <c r="D417" s="350">
        <v>3.63E-3</v>
      </c>
      <c r="E417" s="350">
        <v>2.0200000000000001E-3</v>
      </c>
      <c r="F417" s="350">
        <v>1.3500000000000001E-3</v>
      </c>
      <c r="G417" s="350">
        <v>7.5000000000000002E-4</v>
      </c>
      <c r="H417" s="350">
        <v>5.0000000000000001E-4</v>
      </c>
      <c r="I417" s="675">
        <f t="shared" si="96"/>
        <v>6.7099999999999998E-3</v>
      </c>
      <c r="J417" s="304">
        <f t="shared" ref="J417:J418" si="97">IF(J$413=15,C417,HLOOKUP($J$413,$D$413:$H$417,5,TRUE))</f>
        <v>6.7099999999999998E-3</v>
      </c>
      <c r="K417" s="327">
        <f t="shared" ref="K417:K419" si="98">IF(K$413=15,C417,HLOOKUP($K$413,$D$413:$I$417,5,TRUE))</f>
        <v>6.7099999999999998E-3</v>
      </c>
      <c r="L417" s="48"/>
      <c r="M417" s="48"/>
      <c r="N417" s="48"/>
      <c r="O417" s="48"/>
      <c r="P417" s="48"/>
      <c r="Q417" s="48"/>
      <c r="R417" s="48"/>
      <c r="S417" s="48"/>
      <c r="T417" s="48"/>
      <c r="U417" s="48"/>
      <c r="V417" s="48"/>
      <c r="W417" s="48"/>
    </row>
    <row r="418" spans="1:23" ht="15.4" customHeight="1" x14ac:dyDescent="0.25">
      <c r="A418" s="228">
        <v>6</v>
      </c>
      <c r="B418" s="426" t="s">
        <v>471</v>
      </c>
      <c r="C418" s="350">
        <v>8.8800000000000007E-3</v>
      </c>
      <c r="D418" s="350">
        <v>4.7999999999999996E-3</v>
      </c>
      <c r="E418" s="350">
        <v>2.6700000000000001E-3</v>
      </c>
      <c r="F418" s="350">
        <v>1.7799999999999999E-3</v>
      </c>
      <c r="G418" s="350">
        <v>9.8999999999999999E-4</v>
      </c>
      <c r="H418" s="350">
        <v>6.6E-4</v>
      </c>
      <c r="I418" s="675">
        <f t="shared" si="96"/>
        <v>8.8800000000000007E-3</v>
      </c>
      <c r="J418" s="304">
        <f t="shared" si="97"/>
        <v>8.8800000000000007E-3</v>
      </c>
      <c r="K418" s="327">
        <f t="shared" si="98"/>
        <v>8.8800000000000007E-3</v>
      </c>
      <c r="L418" s="48"/>
      <c r="M418" s="48"/>
      <c r="N418" s="48"/>
      <c r="O418" s="48"/>
      <c r="P418" s="48"/>
      <c r="Q418" s="48"/>
      <c r="R418" s="48"/>
      <c r="S418" s="48"/>
      <c r="T418" s="48"/>
      <c r="U418" s="48"/>
      <c r="V418" s="48"/>
      <c r="W418" s="48"/>
    </row>
    <row r="419" spans="1:23" ht="15.4" customHeight="1" x14ac:dyDescent="0.25">
      <c r="A419" s="48" t="s">
        <v>1189</v>
      </c>
      <c r="B419" s="48"/>
      <c r="C419" s="48"/>
      <c r="D419" s="48"/>
      <c r="E419" s="48"/>
      <c r="F419" s="48"/>
      <c r="G419" s="48"/>
      <c r="H419" s="48"/>
      <c r="I419" s="675">
        <f t="shared" si="96"/>
        <v>0</v>
      </c>
      <c r="J419" s="304">
        <f>IF(J$413=15,C419,HLOOKUP($J$413,$D$413:$H$417,2,TRUE))</f>
        <v>0</v>
      </c>
      <c r="K419" s="327">
        <f t="shared" si="98"/>
        <v>0</v>
      </c>
      <c r="L419" s="48"/>
      <c r="M419" s="48"/>
      <c r="N419" s="48"/>
      <c r="O419" s="48"/>
      <c r="P419" s="48"/>
      <c r="Q419" s="48"/>
      <c r="R419" s="48"/>
      <c r="S419" s="48"/>
      <c r="T419" s="48"/>
      <c r="U419" s="48"/>
      <c r="V419" s="48"/>
      <c r="W419" s="48"/>
    </row>
    <row r="420" spans="1:23" ht="15.4"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row>
    <row r="421" spans="1:23" ht="15.4"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row>
    <row r="422" spans="1:23" ht="15.4" customHeight="1" x14ac:dyDescent="0.25">
      <c r="A422" s="48"/>
      <c r="B422" s="1133" t="s">
        <v>825</v>
      </c>
      <c r="C422" s="1133"/>
      <c r="D422" s="1133"/>
      <c r="E422" s="1133"/>
      <c r="F422" s="1133"/>
      <c r="G422" s="1133"/>
      <c r="H422" s="1133"/>
      <c r="I422" s="1133"/>
      <c r="J422" s="1133"/>
      <c r="K422" s="1133"/>
      <c r="L422" s="1133"/>
      <c r="M422" s="1133"/>
      <c r="N422" s="1133"/>
      <c r="O422" s="1133"/>
      <c r="P422" s="48"/>
      <c r="Q422" s="48"/>
      <c r="R422" s="48"/>
      <c r="S422" s="48"/>
      <c r="T422" s="48"/>
      <c r="U422" s="48"/>
      <c r="V422" s="48"/>
      <c r="W422" s="48"/>
    </row>
    <row r="423" spans="1:23" ht="15.4" customHeight="1" x14ac:dyDescent="0.25">
      <c r="A423" s="48"/>
      <c r="B423" s="1133" t="s">
        <v>558</v>
      </c>
      <c r="C423" s="1133"/>
      <c r="D423" s="1133"/>
      <c r="E423" s="1133"/>
      <c r="F423" s="1133"/>
      <c r="G423" s="1133"/>
      <c r="H423" s="1133"/>
      <c r="I423" s="1133"/>
      <c r="J423" s="1133"/>
      <c r="K423" s="1133"/>
      <c r="L423" s="1133"/>
      <c r="M423" s="1133"/>
      <c r="N423" s="1133"/>
      <c r="O423" s="1133"/>
      <c r="P423" s="48"/>
      <c r="Q423" s="48"/>
      <c r="R423" s="48"/>
      <c r="S423" s="48"/>
      <c r="T423" s="48"/>
      <c r="U423" s="48"/>
      <c r="V423" s="48"/>
      <c r="W423" s="48"/>
    </row>
    <row r="424" spans="1:23" ht="15.4" customHeight="1" x14ac:dyDescent="0.25">
      <c r="A424" s="48"/>
      <c r="B424" s="38" t="s">
        <v>1382</v>
      </c>
      <c r="C424" s="48"/>
      <c r="D424" s="48"/>
      <c r="E424" s="48"/>
      <c r="F424" s="48"/>
      <c r="G424" s="48"/>
      <c r="H424" s="48"/>
      <c r="I424" s="48"/>
      <c r="J424" s="48"/>
      <c r="K424" s="48"/>
      <c r="L424" s="48"/>
      <c r="M424" s="48"/>
      <c r="N424" s="48"/>
      <c r="O424" s="48"/>
      <c r="P424" s="48"/>
      <c r="Q424" s="48"/>
      <c r="R424" s="48"/>
      <c r="S424" s="48"/>
      <c r="T424" s="48"/>
      <c r="U424" s="48"/>
      <c r="V424" s="48"/>
      <c r="W424" s="48"/>
    </row>
    <row r="425" spans="1:23" ht="15.4" customHeight="1" x14ac:dyDescent="0.25">
      <c r="A425" s="48"/>
      <c r="B425" s="38" t="s">
        <v>175</v>
      </c>
      <c r="C425" s="48"/>
      <c r="D425" s="48"/>
      <c r="E425" s="48"/>
      <c r="F425" s="48"/>
      <c r="G425" s="48"/>
      <c r="H425" s="48"/>
      <c r="I425" s="48"/>
      <c r="J425" s="48"/>
      <c r="K425" s="48"/>
      <c r="L425" s="48"/>
      <c r="M425" s="48"/>
      <c r="N425" s="48"/>
      <c r="O425" s="48"/>
      <c r="P425" s="48"/>
      <c r="Q425" s="48"/>
      <c r="R425" s="48"/>
      <c r="S425" s="48"/>
      <c r="T425" s="48"/>
      <c r="U425" s="48"/>
      <c r="V425" s="48"/>
      <c r="W425" s="48"/>
    </row>
    <row r="426" spans="1:23" ht="15.4" customHeight="1" x14ac:dyDescent="0.25">
      <c r="A426" s="48"/>
      <c r="B426" s="38" t="s">
        <v>325</v>
      </c>
      <c r="C426" s="48"/>
      <c r="D426" s="48"/>
      <c r="E426" s="48"/>
      <c r="F426" s="48"/>
      <c r="G426" s="48"/>
      <c r="H426" s="48"/>
      <c r="I426" s="48"/>
      <c r="J426" s="48"/>
      <c r="K426" s="48"/>
      <c r="L426" s="48"/>
      <c r="M426" s="48"/>
      <c r="N426" s="48"/>
      <c r="O426" s="48"/>
      <c r="P426" s="48"/>
      <c r="Q426" s="48"/>
      <c r="R426" s="48"/>
      <c r="S426" s="48"/>
      <c r="T426" s="48"/>
      <c r="U426" s="48"/>
      <c r="V426" s="48"/>
      <c r="W426" s="48"/>
    </row>
    <row r="427" spans="1:23" ht="15.4" customHeight="1" x14ac:dyDescent="0.25">
      <c r="A427" s="48"/>
      <c r="B427" s="38" t="s">
        <v>463</v>
      </c>
      <c r="C427" s="48"/>
      <c r="D427" s="48"/>
      <c r="E427" s="48"/>
      <c r="F427" s="48"/>
      <c r="G427" s="48"/>
      <c r="H427" s="48"/>
      <c r="I427" s="48"/>
      <c r="J427" s="48"/>
      <c r="K427" s="48"/>
      <c r="L427" s="48"/>
      <c r="M427" s="48"/>
      <c r="N427" s="48"/>
      <c r="O427" s="48"/>
      <c r="P427" s="48"/>
      <c r="Q427" s="48"/>
      <c r="R427" s="48"/>
      <c r="S427" s="48"/>
      <c r="T427" s="48"/>
      <c r="U427" s="48"/>
      <c r="V427" s="48"/>
      <c r="W427" s="48"/>
    </row>
    <row r="428" spans="1:23" ht="15.4" customHeight="1" x14ac:dyDescent="0.25">
      <c r="A428" s="48"/>
      <c r="B428" s="38" t="s">
        <v>302</v>
      </c>
      <c r="C428" s="48"/>
      <c r="D428" s="48"/>
      <c r="E428" s="48"/>
      <c r="F428" s="48"/>
      <c r="G428" s="48"/>
      <c r="H428" s="48"/>
      <c r="I428" s="48"/>
      <c r="J428" s="48"/>
      <c r="K428" s="48"/>
      <c r="L428" s="48"/>
      <c r="M428" s="48"/>
      <c r="N428" s="48"/>
      <c r="O428" s="48"/>
      <c r="P428" s="48"/>
      <c r="Q428" s="48"/>
      <c r="R428" s="48"/>
      <c r="S428" s="48"/>
      <c r="T428" s="48"/>
      <c r="U428" s="48"/>
      <c r="V428" s="48"/>
      <c r="W428" s="48"/>
    </row>
    <row r="429" spans="1:23" ht="15.4" customHeight="1" x14ac:dyDescent="0.25">
      <c r="A429" s="48"/>
      <c r="B429" s="38" t="s">
        <v>942</v>
      </c>
      <c r="C429" s="48"/>
      <c r="D429" s="48"/>
      <c r="E429" s="48"/>
      <c r="F429" s="48"/>
      <c r="G429" s="48"/>
      <c r="H429" s="48"/>
      <c r="I429" s="48"/>
      <c r="J429" s="48"/>
      <c r="K429" s="48"/>
      <c r="L429" s="48"/>
      <c r="M429" s="48"/>
      <c r="N429" s="48"/>
      <c r="O429" s="48"/>
      <c r="P429" s="48"/>
      <c r="Q429" s="48"/>
      <c r="R429" s="48"/>
      <c r="S429" s="48"/>
      <c r="T429" s="48"/>
      <c r="U429" s="48"/>
      <c r="V429" s="48"/>
      <c r="W429" s="48"/>
    </row>
    <row r="430" spans="1:23" ht="15.4" customHeight="1" x14ac:dyDescent="0.25">
      <c r="A430" s="48"/>
      <c r="B430" s="38" t="s">
        <v>933</v>
      </c>
      <c r="C430" s="48"/>
      <c r="D430" s="48"/>
      <c r="E430" s="48"/>
      <c r="F430" s="48"/>
      <c r="G430" s="48"/>
      <c r="H430" s="48"/>
      <c r="I430" s="48"/>
      <c r="J430" s="48"/>
      <c r="K430" s="48"/>
      <c r="L430" s="48"/>
      <c r="M430" s="48"/>
      <c r="N430" s="48"/>
      <c r="O430" s="48"/>
      <c r="P430" s="48"/>
      <c r="Q430" s="48"/>
      <c r="R430" s="48"/>
      <c r="S430" s="48"/>
      <c r="T430" s="48"/>
      <c r="U430" s="48"/>
      <c r="V430" s="48"/>
      <c r="W430" s="48"/>
    </row>
    <row r="431" spans="1:23" ht="15.4" customHeight="1" x14ac:dyDescent="0.25">
      <c r="A431" s="48"/>
      <c r="B431" s="38" t="s">
        <v>1442</v>
      </c>
      <c r="C431" s="48"/>
      <c r="D431" s="48"/>
      <c r="E431" s="48"/>
      <c r="F431" s="48"/>
      <c r="G431" s="48"/>
      <c r="H431" s="48"/>
      <c r="I431" s="48"/>
      <c r="J431" s="48"/>
      <c r="K431" s="48"/>
      <c r="L431" s="48"/>
      <c r="M431" s="48"/>
      <c r="N431" s="48"/>
      <c r="O431" s="48"/>
      <c r="P431" s="48"/>
      <c r="Q431" s="48"/>
      <c r="R431" s="48"/>
      <c r="S431" s="48"/>
      <c r="T431" s="48"/>
      <c r="U431" s="48"/>
      <c r="V431" s="48"/>
      <c r="W431" s="48"/>
    </row>
    <row r="432" spans="1:23" ht="15.4" customHeight="1" x14ac:dyDescent="0.25">
      <c r="A432" s="48"/>
      <c r="B432" s="38"/>
      <c r="C432" s="48"/>
      <c r="D432" s="48"/>
      <c r="E432" s="48"/>
      <c r="F432" s="48"/>
      <c r="G432" s="48"/>
      <c r="H432" s="48"/>
      <c r="I432" s="48"/>
      <c r="J432" s="48"/>
      <c r="K432" s="48"/>
      <c r="L432" s="48"/>
      <c r="M432" s="48"/>
      <c r="N432" s="48"/>
      <c r="O432" s="48"/>
      <c r="P432" s="48"/>
      <c r="Q432" s="48"/>
      <c r="R432" s="48"/>
      <c r="S432" s="48"/>
      <c r="T432" s="48"/>
      <c r="U432" s="48"/>
      <c r="V432" s="48"/>
      <c r="W432" s="48"/>
    </row>
    <row r="433" spans="1:23" ht="15.4" customHeight="1" x14ac:dyDescent="0.25">
      <c r="A433" s="48"/>
      <c r="B433" s="1272" t="s">
        <v>1276</v>
      </c>
      <c r="C433" s="1272"/>
      <c r="D433" s="1272"/>
      <c r="E433" s="1272"/>
      <c r="F433" s="1272"/>
      <c r="G433" s="1272"/>
      <c r="H433" s="1272"/>
      <c r="I433" s="1272"/>
      <c r="J433" s="1272"/>
      <c r="K433" s="1272"/>
      <c r="L433" s="1272"/>
      <c r="M433" s="1272"/>
      <c r="N433" s="1272"/>
      <c r="O433" s="48"/>
      <c r="P433" s="48"/>
      <c r="Q433" s="48"/>
      <c r="R433" s="48"/>
      <c r="S433" s="48"/>
      <c r="T433" s="48"/>
      <c r="U433" s="48"/>
      <c r="V433" s="48"/>
      <c r="W433" s="48"/>
    </row>
    <row r="434" spans="1:23" ht="15.4"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row>
    <row r="435" spans="1:23" ht="15.4" customHeight="1" x14ac:dyDescent="0.25">
      <c r="A435" s="426"/>
      <c r="B435" s="426"/>
      <c r="C435" s="426" t="s">
        <v>1054</v>
      </c>
      <c r="D435" s="426"/>
      <c r="E435" s="426"/>
      <c r="F435" s="426"/>
      <c r="G435" s="426"/>
      <c r="H435" s="426"/>
      <c r="I435" s="426"/>
      <c r="J435" s="269" t="s">
        <v>823</v>
      </c>
      <c r="K435" s="269" t="s">
        <v>628</v>
      </c>
      <c r="L435" s="269" t="s">
        <v>298</v>
      </c>
      <c r="M435" s="48"/>
      <c r="N435" s="48"/>
      <c r="O435" s="48"/>
      <c r="P435" s="48"/>
      <c r="Q435" s="48"/>
      <c r="R435" s="48"/>
      <c r="S435" s="48"/>
      <c r="T435" s="48"/>
      <c r="U435" s="48"/>
      <c r="V435" s="48"/>
      <c r="W435" s="48"/>
    </row>
    <row r="436" spans="1:23" ht="30.75" customHeight="1" x14ac:dyDescent="0.25">
      <c r="A436" s="50" t="s">
        <v>172</v>
      </c>
      <c r="B436" s="558" t="s">
        <v>351</v>
      </c>
      <c r="C436" s="50">
        <v>5</v>
      </c>
      <c r="D436" s="50">
        <v>10</v>
      </c>
      <c r="E436" s="50">
        <v>50</v>
      </c>
      <c r="F436" s="50">
        <v>100</v>
      </c>
      <c r="G436" s="50">
        <v>500</v>
      </c>
      <c r="H436" s="50">
        <v>1000</v>
      </c>
      <c r="I436" s="142">
        <v>10000</v>
      </c>
      <c r="J436" s="50">
        <f>THKP_TT16!K63/1000000000</f>
        <v>4.0000000000000002E-9</v>
      </c>
      <c r="K436" s="50">
        <f>IF(J436&lt;D436,5,IF(J436&gt;I436,I436,HLOOKUP(J436,D436:I436,1)))</f>
        <v>5</v>
      </c>
      <c r="L436" s="50">
        <f>IF(J436&lt;5,5,IF(J436&lt;10,10,IF(J436&gt;I436,I436,INDEX(D436:I436,MATCH(J436,D436:I436,1)+1))))</f>
        <v>5</v>
      </c>
      <c r="M436" s="691"/>
      <c r="N436" s="518"/>
      <c r="O436" s="48"/>
      <c r="P436" s="48"/>
      <c r="Q436" s="48"/>
      <c r="R436" s="48"/>
      <c r="S436" s="48"/>
      <c r="T436" s="48"/>
      <c r="U436" s="48"/>
      <c r="V436" s="48"/>
      <c r="W436" s="48"/>
    </row>
    <row r="437" spans="1:23" ht="15.4" customHeight="1" x14ac:dyDescent="0.25">
      <c r="A437" s="612">
        <v>1</v>
      </c>
      <c r="B437" s="426" t="s">
        <v>664</v>
      </c>
      <c r="C437" s="654">
        <v>9.5999999999999992E-3</v>
      </c>
      <c r="D437" s="654">
        <v>6.45E-3</v>
      </c>
      <c r="E437" s="654">
        <v>4.4999999999999997E-3</v>
      </c>
      <c r="F437" s="654">
        <v>3.4499999999999999E-3</v>
      </c>
      <c r="G437" s="654">
        <v>1.9499999999999999E-3</v>
      </c>
      <c r="H437" s="654">
        <v>1.2899999999999999E-3</v>
      </c>
      <c r="I437" s="654">
        <v>6.8999999999999997E-4</v>
      </c>
      <c r="J437" s="453">
        <f t="shared" ref="J437:J438" si="99">IF(L$436=K$436,K437,ROUND(K437-((K437-L437)/(L$436-K$436))*(J$436-K$436),5))</f>
        <v>9.5999999999999992E-3</v>
      </c>
      <c r="K437" s="453">
        <f>HLOOKUP($K$436,$C$436:$I$437,2)</f>
        <v>9.5999999999999992E-3</v>
      </c>
      <c r="L437" s="453">
        <f>HLOOKUP($L$436,$C$436:$I$437,2)</f>
        <v>9.5999999999999992E-3</v>
      </c>
      <c r="M437" s="48"/>
      <c r="N437" s="48"/>
      <c r="O437" s="48"/>
      <c r="P437" s="48"/>
      <c r="Q437" s="48"/>
      <c r="R437" s="48"/>
      <c r="S437" s="48"/>
      <c r="T437" s="48"/>
      <c r="U437" s="48"/>
      <c r="V437" s="48"/>
      <c r="W437" s="48"/>
    </row>
    <row r="438" spans="1:23" ht="30.6" customHeight="1" x14ac:dyDescent="0.25">
      <c r="A438" s="443">
        <v>2</v>
      </c>
      <c r="B438" s="29" t="s">
        <v>226</v>
      </c>
      <c r="C438" s="865">
        <v>5.7000000000000002E-3</v>
      </c>
      <c r="D438" s="865">
        <v>3.8999999999999998E-3</v>
      </c>
      <c r="E438" s="865">
        <v>2.8500000000000001E-3</v>
      </c>
      <c r="F438" s="865">
        <v>2.2499999999999998E-3</v>
      </c>
      <c r="G438" s="865">
        <v>1.3500000000000001E-3</v>
      </c>
      <c r="H438" s="865">
        <v>8.9999999999999998E-4</v>
      </c>
      <c r="I438" s="865">
        <v>4.8000000000000001E-4</v>
      </c>
      <c r="J438" s="453">
        <f t="shared" si="99"/>
        <v>5.7000000000000002E-3</v>
      </c>
      <c r="K438" s="453">
        <f>HLOOKUP($K$436,$C$436:$I$438,3)</f>
        <v>5.7000000000000002E-3</v>
      </c>
      <c r="L438" s="453">
        <f>HLOOKUP($L$436,$C$436:$I$438,3)</f>
        <v>5.7000000000000002E-3</v>
      </c>
      <c r="M438" s="48"/>
      <c r="N438" s="48"/>
      <c r="O438" s="48"/>
      <c r="P438" s="48"/>
      <c r="Q438" s="48"/>
      <c r="R438" s="48"/>
      <c r="S438" s="48"/>
      <c r="T438" s="48"/>
      <c r="U438" s="48"/>
      <c r="V438" s="48"/>
      <c r="W438" s="48"/>
    </row>
    <row r="439" spans="1:23" ht="15.4"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row>
    <row r="440" spans="1:23" ht="15.4" customHeight="1" x14ac:dyDescent="0.25">
      <c r="A440" s="48"/>
      <c r="B440" s="48"/>
      <c r="C440" s="48"/>
      <c r="D440" s="48"/>
      <c r="E440" s="48"/>
      <c r="F440" s="48"/>
      <c r="G440" s="48"/>
      <c r="H440" s="48"/>
      <c r="I440" s="48"/>
      <c r="J440" s="206"/>
      <c r="K440" s="48"/>
      <c r="L440" s="48"/>
      <c r="M440" s="48"/>
      <c r="N440" s="48"/>
      <c r="O440" s="48"/>
      <c r="P440" s="48"/>
      <c r="Q440" s="48"/>
      <c r="R440" s="48"/>
      <c r="S440" s="48"/>
      <c r="T440" s="48"/>
      <c r="U440" s="48"/>
      <c r="V440" s="48"/>
      <c r="W440" s="48"/>
    </row>
  </sheetData>
  <mergeCells count="170">
    <mergeCell ref="B433:N433"/>
    <mergeCell ref="B422:O422"/>
    <mergeCell ref="B423:O423"/>
    <mergeCell ref="A398:M398"/>
    <mergeCell ref="F399:G399"/>
    <mergeCell ref="A401:A402"/>
    <mergeCell ref="B401:B402"/>
    <mergeCell ref="C401:G401"/>
    <mergeCell ref="A406:N406"/>
    <mergeCell ref="A407:N407"/>
    <mergeCell ref="A409:N409"/>
    <mergeCell ref="I410:K410"/>
    <mergeCell ref="A412:A413"/>
    <mergeCell ref="B412:B413"/>
    <mergeCell ref="C412:H412"/>
    <mergeCell ref="I363:J363"/>
    <mergeCell ref="A365:A366"/>
    <mergeCell ref="B365:B366"/>
    <mergeCell ref="C365:J365"/>
    <mergeCell ref="A374:M374"/>
    <mergeCell ref="A389:A390"/>
    <mergeCell ref="B389:B390"/>
    <mergeCell ref="C389:M389"/>
    <mergeCell ref="A333:A334"/>
    <mergeCell ref="B333:B334"/>
    <mergeCell ref="C333:M333"/>
    <mergeCell ref="A342:M342"/>
    <mergeCell ref="H343:I343"/>
    <mergeCell ref="A345:A346"/>
    <mergeCell ref="B345:B346"/>
    <mergeCell ref="I375:M375"/>
    <mergeCell ref="A377:A378"/>
    <mergeCell ref="B377:B378"/>
    <mergeCell ref="C377:M377"/>
    <mergeCell ref="A386:M386"/>
    <mergeCell ref="I387:M387"/>
    <mergeCell ref="B247:M247"/>
    <mergeCell ref="B254:M254"/>
    <mergeCell ref="B260:M260"/>
    <mergeCell ref="B267:M267"/>
    <mergeCell ref="B273:M273"/>
    <mergeCell ref="B280:M280"/>
    <mergeCell ref="A362:M362"/>
    <mergeCell ref="A306:M306"/>
    <mergeCell ref="K307:N307"/>
    <mergeCell ref="A309:A310"/>
    <mergeCell ref="B309:B310"/>
    <mergeCell ref="C309:N309"/>
    <mergeCell ref="A318:N318"/>
    <mergeCell ref="I319:M319"/>
    <mergeCell ref="A321:A322"/>
    <mergeCell ref="B321:B322"/>
    <mergeCell ref="C345:I345"/>
    <mergeCell ref="A350:M350"/>
    <mergeCell ref="I351:J351"/>
    <mergeCell ref="A353:A354"/>
    <mergeCell ref="B353:B354"/>
    <mergeCell ref="C353:J353"/>
    <mergeCell ref="A294:M294"/>
    <mergeCell ref="K295:N295"/>
    <mergeCell ref="A297:A298"/>
    <mergeCell ref="B297:B298"/>
    <mergeCell ref="C297:N297"/>
    <mergeCell ref="B286:M286"/>
    <mergeCell ref="C321:M321"/>
    <mergeCell ref="A330:M330"/>
    <mergeCell ref="I331:M331"/>
    <mergeCell ref="B241:M241"/>
    <mergeCell ref="A177:A178"/>
    <mergeCell ref="B177:B178"/>
    <mergeCell ref="C177:N177"/>
    <mergeCell ref="A186:G186"/>
    <mergeCell ref="A198:G198"/>
    <mergeCell ref="J223:M223"/>
    <mergeCell ref="A225:A226"/>
    <mergeCell ref="B225:B226"/>
    <mergeCell ref="C225:M225"/>
    <mergeCell ref="B228:M228"/>
    <mergeCell ref="C211:F211"/>
    <mergeCell ref="A213:A214"/>
    <mergeCell ref="B213:B214"/>
    <mergeCell ref="C213:F213"/>
    <mergeCell ref="A222:G222"/>
    <mergeCell ref="B234:M234"/>
    <mergeCell ref="K199:N199"/>
    <mergeCell ref="A201:A202"/>
    <mergeCell ref="B201:B202"/>
    <mergeCell ref="C201:N201"/>
    <mergeCell ref="A210:G210"/>
    <mergeCell ref="K187:N187"/>
    <mergeCell ref="A189:A190"/>
    <mergeCell ref="B189:B190"/>
    <mergeCell ref="C189:N189"/>
    <mergeCell ref="K175:N175"/>
    <mergeCell ref="A104:M104"/>
    <mergeCell ref="A111:M111"/>
    <mergeCell ref="A118:N118"/>
    <mergeCell ref="A119:N119"/>
    <mergeCell ref="A121:M121"/>
    <mergeCell ref="A128:N128"/>
    <mergeCell ref="A129:N129"/>
    <mergeCell ref="A131:O131"/>
    <mergeCell ref="B154:B155"/>
    <mergeCell ref="I152:L152"/>
    <mergeCell ref="A154:A155"/>
    <mergeCell ref="A135:A136"/>
    <mergeCell ref="B135:B136"/>
    <mergeCell ref="C135:K135"/>
    <mergeCell ref="A102:N102"/>
    <mergeCell ref="A89:O89"/>
    <mergeCell ref="A174:G174"/>
    <mergeCell ref="C154:K154"/>
    <mergeCell ref="A156:K156"/>
    <mergeCell ref="A162:K162"/>
    <mergeCell ref="A171:N171"/>
    <mergeCell ref="A172:N172"/>
    <mergeCell ref="A137:K137"/>
    <mergeCell ref="A143:K143"/>
    <mergeCell ref="A151:B151"/>
    <mergeCell ref="I91:L91"/>
    <mergeCell ref="A93:A94"/>
    <mergeCell ref="B93:B94"/>
    <mergeCell ref="A90:N90"/>
    <mergeCell ref="C93:I93"/>
    <mergeCell ref="A47:K47"/>
    <mergeCell ref="A67:B67"/>
    <mergeCell ref="I68:L68"/>
    <mergeCell ref="A70:A71"/>
    <mergeCell ref="B70:B71"/>
    <mergeCell ref="C70:K70"/>
    <mergeCell ref="A101:N101"/>
    <mergeCell ref="A132:B132"/>
    <mergeCell ref="I133:L133"/>
    <mergeCell ref="A72:K72"/>
    <mergeCell ref="A78:K78"/>
    <mergeCell ref="A86:N86"/>
    <mergeCell ref="A87:N87"/>
    <mergeCell ref="A31:M31"/>
    <mergeCell ref="A7:B7"/>
    <mergeCell ref="C7:D7"/>
    <mergeCell ref="A8:B8"/>
    <mergeCell ref="C8:D8"/>
    <mergeCell ref="A11:N11"/>
    <mergeCell ref="A12:N12"/>
    <mergeCell ref="A53:K53"/>
    <mergeCell ref="A59:K59"/>
    <mergeCell ref="C45:K45"/>
    <mergeCell ref="A21:N21"/>
    <mergeCell ref="A22:N22"/>
    <mergeCell ref="A24:M24"/>
    <mergeCell ref="A39:N39"/>
    <mergeCell ref="A38:N38"/>
    <mergeCell ref="A41:O41"/>
    <mergeCell ref="A42:B42"/>
    <mergeCell ref="I43:L43"/>
    <mergeCell ref="A45:A46"/>
    <mergeCell ref="B45:B46"/>
    <mergeCell ref="A1:B1"/>
    <mergeCell ref="C1:D1"/>
    <mergeCell ref="A2:B2"/>
    <mergeCell ref="C2:D2"/>
    <mergeCell ref="A6:B6"/>
    <mergeCell ref="C6:D6"/>
    <mergeCell ref="A3:B3"/>
    <mergeCell ref="C3:D3"/>
    <mergeCell ref="A14:M14"/>
    <mergeCell ref="A4:B4"/>
    <mergeCell ref="C4:D4"/>
    <mergeCell ref="A5:B5"/>
    <mergeCell ref="C5:D5"/>
  </mergeCells>
  <pageMargins left="0.7" right="0.7" top="0.75" bottom="0.75" header="0.3" footer="0.3"/>
  <pageSetup paperSize="9" orientation="portrai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IV71"/>
  <sheetViews>
    <sheetView showZeros="0" workbookViewId="0">
      <selection sqref="A1:T1"/>
    </sheetView>
  </sheetViews>
  <sheetFormatPr defaultRowHeight="15" x14ac:dyDescent="0.25"/>
  <cols>
    <col min="1" max="1" width="6.28515625" customWidth="1"/>
    <col min="2" max="2" width="11.5703125" customWidth="1"/>
    <col min="3" max="3" width="31.5703125" customWidth="1"/>
    <col min="4" max="4" width="9.7109375" customWidth="1"/>
    <col min="5" max="7" width="14.28515625" customWidth="1"/>
    <col min="8" max="8" width="16.42578125" customWidth="1"/>
    <col min="9" max="9" width="14.28515625" customWidth="1"/>
    <col min="10" max="10" width="17.85546875" customWidth="1"/>
    <col min="11" max="12" width="12.7109375" customWidth="1"/>
    <col min="13" max="13" width="14.28515625" customWidth="1"/>
    <col min="14" max="14" width="15.42578125" customWidth="1"/>
    <col min="15" max="16" width="14.28515625" customWidth="1"/>
    <col min="17" max="17" width="15.42578125" customWidth="1"/>
    <col min="18" max="18" width="19" customWidth="1"/>
    <col min="19" max="20" width="18.28515625" customWidth="1"/>
    <col min="21" max="256" width="9.140625" customWidth="1"/>
  </cols>
  <sheetData>
    <row r="1" spans="1:256" ht="22.5" customHeight="1" x14ac:dyDescent="0.25">
      <c r="A1" s="1315" t="s">
        <v>180</v>
      </c>
      <c r="B1" s="1315"/>
      <c r="C1" s="1315"/>
      <c r="D1" s="1315"/>
      <c r="E1" s="1315"/>
      <c r="F1" s="1315"/>
      <c r="G1" s="1315"/>
      <c r="H1" s="1315"/>
      <c r="I1" s="1315"/>
      <c r="J1" s="1315"/>
      <c r="K1" s="1315"/>
      <c r="L1" s="1315"/>
      <c r="M1" s="1315"/>
      <c r="N1" s="1315"/>
      <c r="O1" s="1315"/>
      <c r="P1" s="1315"/>
      <c r="Q1" s="1315"/>
      <c r="R1" s="1315"/>
      <c r="S1" s="1315"/>
      <c r="T1" s="1315"/>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c r="IR1" s="27"/>
      <c r="IS1" s="27"/>
      <c r="IT1" s="27"/>
      <c r="IU1" s="27"/>
      <c r="IV1" s="27"/>
    </row>
    <row r="2" spans="1:256" ht="18" customHeight="1" x14ac:dyDescent="0.25">
      <c r="A2" s="1298" t="s">
        <v>1023</v>
      </c>
      <c r="B2" s="1298"/>
      <c r="C2" s="1298"/>
      <c r="D2" s="1298"/>
      <c r="E2" s="1298"/>
      <c r="F2" s="1298"/>
      <c r="G2" s="1298"/>
      <c r="H2" s="1298"/>
      <c r="I2" s="1298"/>
      <c r="J2" s="1298"/>
      <c r="K2" s="1298"/>
      <c r="L2" s="1298"/>
      <c r="M2" s="1298"/>
      <c r="N2" s="1298"/>
      <c r="O2" s="1298"/>
      <c r="P2" s="1298"/>
      <c r="Q2" s="1298"/>
      <c r="R2" s="1298"/>
      <c r="S2" s="1298"/>
      <c r="T2" s="1298"/>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c r="IR2" s="27"/>
      <c r="IS2" s="27"/>
      <c r="IT2" s="27"/>
      <c r="IU2" s="27"/>
      <c r="IV2" s="27"/>
    </row>
    <row r="3" spans="1:256" ht="18" customHeight="1" x14ac:dyDescent="0.25">
      <c r="A3" s="1226" t="s">
        <v>194</v>
      </c>
      <c r="B3" s="1226"/>
      <c r="C3" s="1226"/>
      <c r="D3" s="1226"/>
      <c r="E3" s="1226"/>
      <c r="F3" s="1226"/>
      <c r="G3" s="1226"/>
      <c r="H3" s="1226"/>
      <c r="I3" s="1226"/>
      <c r="J3" s="1226"/>
      <c r="K3" s="1226"/>
      <c r="L3" s="1226"/>
      <c r="M3" s="1226"/>
      <c r="N3" s="1226"/>
      <c r="O3" s="1226"/>
      <c r="P3" s="1226"/>
      <c r="Q3" s="1226"/>
      <c r="R3" s="1226"/>
      <c r="S3" s="1226"/>
      <c r="T3" s="1226"/>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row>
    <row r="4" spans="1:256" ht="18" customHeight="1" x14ac:dyDescent="0.25">
      <c r="A4" s="1226" t="s">
        <v>341</v>
      </c>
      <c r="B4" s="1226"/>
      <c r="C4" s="1226"/>
      <c r="D4" s="1226"/>
      <c r="E4" s="1226"/>
      <c r="F4" s="1226"/>
      <c r="G4" s="1226"/>
      <c r="H4" s="1226"/>
      <c r="I4" s="1226"/>
      <c r="J4" s="1226"/>
      <c r="K4" s="1226"/>
      <c r="L4" s="1226"/>
      <c r="M4" s="1226"/>
      <c r="N4" s="1226"/>
      <c r="O4" s="1226"/>
      <c r="P4" s="1226"/>
      <c r="Q4" s="1226"/>
      <c r="R4" s="1226"/>
      <c r="S4" s="1226"/>
      <c r="T4" s="1226"/>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row>
    <row r="5" spans="1:256" ht="18" customHeight="1" x14ac:dyDescent="0.25">
      <c r="A5" s="1299" t="s">
        <v>1158</v>
      </c>
      <c r="B5" s="1299"/>
      <c r="C5" s="1299"/>
      <c r="D5" s="1299"/>
      <c r="E5" s="1299"/>
      <c r="F5" s="1299"/>
      <c r="G5" s="1299"/>
      <c r="H5" s="1299"/>
      <c r="I5" s="1299"/>
      <c r="J5" s="1299"/>
      <c r="K5" s="1299"/>
      <c r="L5" s="1299"/>
      <c r="M5" s="1299"/>
      <c r="N5" s="1299"/>
      <c r="O5" s="1299"/>
      <c r="P5" s="1299"/>
      <c r="Q5" s="1299"/>
      <c r="R5" s="1299"/>
      <c r="S5" s="1299"/>
      <c r="T5" s="1299"/>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H5" s="27"/>
      <c r="II5" s="27"/>
      <c r="IJ5" s="27"/>
      <c r="IK5" s="27"/>
      <c r="IL5" s="27"/>
      <c r="IM5" s="27"/>
      <c r="IN5" s="27"/>
      <c r="IO5" s="27"/>
      <c r="IP5" s="27"/>
      <c r="IQ5" s="27"/>
      <c r="IR5" s="27"/>
      <c r="IS5" s="27"/>
      <c r="IT5" s="27"/>
      <c r="IU5" s="27"/>
      <c r="IV5" s="27"/>
    </row>
    <row r="6" spans="1:256" ht="18" customHeight="1" x14ac:dyDescent="0.25">
      <c r="A6" s="1299" t="s">
        <v>683</v>
      </c>
      <c r="B6" s="1299"/>
      <c r="C6" s="1299"/>
      <c r="D6" s="1299"/>
      <c r="E6" s="1299"/>
      <c r="F6" s="1299"/>
      <c r="G6" s="1299"/>
      <c r="H6" s="1299"/>
      <c r="I6" s="1299"/>
      <c r="J6" s="1299"/>
      <c r="K6" s="1299"/>
      <c r="L6" s="1299"/>
      <c r="M6" s="1299"/>
      <c r="N6" s="1299"/>
      <c r="O6" s="1299"/>
      <c r="P6" s="1299"/>
      <c r="Q6" s="1299"/>
      <c r="R6" s="1299"/>
      <c r="S6" s="1299"/>
      <c r="T6" s="1299"/>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18" customHeight="1" x14ac:dyDescent="0.25">
      <c r="A7" s="1299" t="s">
        <v>931</v>
      </c>
      <c r="B7" s="1299"/>
      <c r="C7" s="1299"/>
      <c r="D7" s="1299"/>
      <c r="E7" s="1299"/>
      <c r="F7" s="1299"/>
      <c r="G7" s="1299"/>
      <c r="H7" s="1299"/>
      <c r="I7" s="1299"/>
      <c r="J7" s="1299"/>
      <c r="K7" s="1299"/>
      <c r="L7" s="1299"/>
      <c r="M7" s="1299"/>
      <c r="N7" s="1299"/>
      <c r="O7" s="1299"/>
      <c r="P7" s="1299"/>
      <c r="Q7" s="1299"/>
      <c r="R7" s="1299"/>
      <c r="S7" s="1299"/>
      <c r="T7" s="129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18" customHeight="1" x14ac:dyDescent="0.25">
      <c r="A8" s="1299" t="s">
        <v>611</v>
      </c>
      <c r="B8" s="1299"/>
      <c r="C8" s="1299"/>
      <c r="D8" s="1299"/>
      <c r="E8" s="1299"/>
      <c r="F8" s="1299"/>
      <c r="G8" s="1299"/>
      <c r="H8" s="1299"/>
      <c r="I8" s="1299"/>
      <c r="J8" s="1299"/>
      <c r="K8" s="1299"/>
      <c r="L8" s="1299"/>
      <c r="M8" s="1299"/>
      <c r="N8" s="1299"/>
      <c r="O8" s="1299"/>
      <c r="P8" s="1299"/>
      <c r="Q8" s="1299"/>
      <c r="R8" s="1299"/>
      <c r="S8" s="1299"/>
      <c r="T8" s="129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18" customHeight="1" x14ac:dyDescent="0.25">
      <c r="A9" s="1299" t="s">
        <v>1386</v>
      </c>
      <c r="B9" s="1299"/>
      <c r="C9" s="1299"/>
      <c r="D9" s="1299"/>
      <c r="E9" s="1299"/>
      <c r="F9" s="1299"/>
      <c r="G9" s="1299"/>
      <c r="H9" s="1299"/>
      <c r="I9" s="1299"/>
      <c r="J9" s="1299"/>
      <c r="K9" s="1299"/>
      <c r="L9" s="1299"/>
      <c r="M9" s="1299"/>
      <c r="N9" s="1299"/>
      <c r="O9" s="1299"/>
      <c r="P9" s="1299"/>
      <c r="Q9" s="1299"/>
      <c r="R9" s="1299"/>
      <c r="S9" s="1299"/>
      <c r="T9" s="1299"/>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18" customHeight="1" x14ac:dyDescent="0.25">
      <c r="A10" s="1299" t="s">
        <v>1180</v>
      </c>
      <c r="B10" s="1299"/>
      <c r="C10" s="1299"/>
      <c r="D10" s="1299"/>
      <c r="E10" s="1299"/>
      <c r="F10" s="1299"/>
      <c r="G10" s="1299"/>
      <c r="H10" s="1299"/>
      <c r="I10" s="1299"/>
      <c r="J10" s="1299"/>
      <c r="K10" s="1299"/>
      <c r="L10" s="1299"/>
      <c r="M10" s="1299"/>
      <c r="N10" s="1299"/>
      <c r="O10" s="1299"/>
      <c r="P10" s="1299"/>
      <c r="Q10" s="1299"/>
      <c r="R10" s="1299"/>
      <c r="S10" s="1299"/>
      <c r="T10" s="129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8" customHeight="1" x14ac:dyDescent="0.25">
      <c r="A11" s="1299" t="s">
        <v>1261</v>
      </c>
      <c r="B11" s="1299"/>
      <c r="C11" s="1299"/>
      <c r="D11" s="1299"/>
      <c r="E11" s="1299"/>
      <c r="F11" s="1299"/>
      <c r="G11" s="1299"/>
      <c r="H11" s="1299"/>
      <c r="I11" s="1299"/>
      <c r="J11" s="1299"/>
      <c r="K11" s="1299"/>
      <c r="L11" s="1299"/>
      <c r="M11" s="1299"/>
      <c r="N11" s="1299"/>
      <c r="O11" s="1299"/>
      <c r="P11" s="1299"/>
      <c r="Q11" s="1299"/>
      <c r="R11" s="1299"/>
      <c r="S11" s="1299"/>
      <c r="T11" s="1299"/>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H11" s="27"/>
      <c r="II11" s="27"/>
      <c r="IJ11" s="27"/>
      <c r="IK11" s="27"/>
      <c r="IL11" s="27"/>
      <c r="IM11" s="27"/>
      <c r="IN11" s="27"/>
      <c r="IO11" s="27"/>
      <c r="IP11" s="27"/>
      <c r="IQ11" s="27"/>
      <c r="IR11" s="27"/>
      <c r="IS11" s="27"/>
      <c r="IT11" s="27"/>
      <c r="IU11" s="27"/>
      <c r="IV11" s="27"/>
    </row>
    <row r="12" spans="1:256" ht="18" customHeight="1" x14ac:dyDescent="0.25">
      <c r="A12" s="1299" t="s">
        <v>436</v>
      </c>
      <c r="B12" s="1299"/>
      <c r="C12" s="1299"/>
      <c r="D12" s="1299"/>
      <c r="E12" s="1299"/>
      <c r="F12" s="1299"/>
      <c r="G12" s="1299"/>
      <c r="H12" s="1299"/>
      <c r="I12" s="1299"/>
      <c r="J12" s="1299"/>
      <c r="K12" s="1299"/>
      <c r="L12" s="1299"/>
      <c r="M12" s="1299"/>
      <c r="N12" s="1299"/>
      <c r="O12" s="1299"/>
      <c r="P12" s="1299"/>
      <c r="Q12" s="1299"/>
      <c r="R12" s="1299"/>
      <c r="S12" s="1299"/>
      <c r="T12" s="1299"/>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c r="IA12" s="27"/>
      <c r="IB12" s="27"/>
      <c r="IC12" s="27"/>
      <c r="ID12" s="27"/>
      <c r="IE12" s="27"/>
      <c r="IF12" s="27"/>
      <c r="IG12" s="27"/>
      <c r="IH12" s="27"/>
      <c r="II12" s="27"/>
      <c r="IJ12" s="27"/>
      <c r="IK12" s="27"/>
      <c r="IL12" s="27"/>
      <c r="IM12" s="27"/>
      <c r="IN12" s="27"/>
      <c r="IO12" s="27"/>
      <c r="IP12" s="27"/>
      <c r="IQ12" s="27"/>
      <c r="IR12" s="27"/>
      <c r="IS12" s="27"/>
      <c r="IT12" s="27"/>
      <c r="IU12" s="27"/>
      <c r="IV12" s="27"/>
    </row>
    <row r="13" spans="1:256" ht="16.5" customHeight="1" x14ac:dyDescent="0.25">
      <c r="A13" s="1314"/>
      <c r="B13" s="1314"/>
      <c r="C13" s="1314"/>
      <c r="D13" s="1314"/>
      <c r="E13" s="1314"/>
      <c r="F13" s="1314"/>
      <c r="G13" s="1314"/>
      <c r="H13" s="1314"/>
      <c r="I13" s="1314"/>
      <c r="J13" s="1314"/>
      <c r="K13" s="1314"/>
      <c r="L13" s="1314"/>
      <c r="M13" s="1314"/>
      <c r="N13" s="1314"/>
      <c r="O13" s="1314"/>
      <c r="P13" s="1314"/>
      <c r="Q13" s="1314"/>
      <c r="R13" s="1314"/>
      <c r="S13" s="1314"/>
      <c r="T13" s="1314"/>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H13" s="27"/>
      <c r="II13" s="27"/>
      <c r="IJ13" s="27"/>
      <c r="IK13" s="27"/>
      <c r="IL13" s="27"/>
      <c r="IM13" s="27"/>
      <c r="IN13" s="27"/>
      <c r="IO13" s="27"/>
      <c r="IP13" s="27"/>
      <c r="IQ13" s="27"/>
      <c r="IR13" s="27"/>
      <c r="IS13" s="27"/>
      <c r="IT13" s="27"/>
      <c r="IU13" s="27"/>
      <c r="IV13" s="27"/>
    </row>
    <row r="14" spans="1:256" ht="18.75" customHeight="1" x14ac:dyDescent="0.25">
      <c r="A14" s="1311" t="s">
        <v>1323</v>
      </c>
      <c r="B14" s="1308" t="s">
        <v>1024</v>
      </c>
      <c r="C14" s="1308" t="s">
        <v>1193</v>
      </c>
      <c r="D14" s="1308" t="s">
        <v>60</v>
      </c>
      <c r="E14" s="1308" t="s">
        <v>196</v>
      </c>
      <c r="F14" s="1303" t="s">
        <v>1378</v>
      </c>
      <c r="G14" s="1303" t="s">
        <v>1423</v>
      </c>
      <c r="H14" s="1303" t="s">
        <v>615</v>
      </c>
      <c r="I14" s="1303" t="s">
        <v>1187</v>
      </c>
      <c r="J14" s="1303" t="s">
        <v>441</v>
      </c>
      <c r="K14" s="1306" t="s">
        <v>692</v>
      </c>
      <c r="L14" s="1307"/>
      <c r="M14" s="1300" t="s">
        <v>1401</v>
      </c>
      <c r="N14" s="1300" t="s">
        <v>462</v>
      </c>
      <c r="O14" s="1300" t="s">
        <v>403</v>
      </c>
      <c r="P14" s="1300" t="s">
        <v>1140</v>
      </c>
      <c r="Q14" s="1300" t="s">
        <v>1339</v>
      </c>
      <c r="R14" s="1300" t="s">
        <v>757</v>
      </c>
      <c r="S14" s="1300" t="s">
        <v>761</v>
      </c>
      <c r="T14" s="1308" t="s">
        <v>1056</v>
      </c>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c r="GH14" s="27"/>
      <c r="GI14" s="27"/>
      <c r="GJ14" s="27"/>
      <c r="GK14" s="27"/>
      <c r="GL14" s="27"/>
      <c r="GM14" s="27"/>
      <c r="GN14" s="27"/>
      <c r="GO14" s="27"/>
      <c r="GP14" s="27"/>
      <c r="GQ14" s="27"/>
      <c r="GR14" s="27"/>
      <c r="GS14" s="27"/>
      <c r="GT14" s="27"/>
      <c r="GU14" s="27"/>
      <c r="GV14" s="27"/>
      <c r="GW14" s="27"/>
      <c r="GX14" s="27"/>
      <c r="GY14" s="27"/>
      <c r="GZ14" s="27"/>
      <c r="HA14" s="27"/>
      <c r="HB14" s="27"/>
      <c r="HC14" s="27"/>
      <c r="HD14" s="27"/>
      <c r="HE14" s="27"/>
      <c r="HF14" s="27"/>
      <c r="HG14" s="27"/>
      <c r="HH14" s="27"/>
      <c r="HI14" s="27"/>
      <c r="HJ14" s="27"/>
      <c r="HK14" s="27"/>
      <c r="HL14" s="27"/>
      <c r="HM14" s="27"/>
      <c r="HN14" s="27"/>
      <c r="HO14" s="27"/>
      <c r="HP14" s="27"/>
      <c r="HQ14" s="27"/>
      <c r="HR14" s="27"/>
      <c r="HS14" s="27"/>
      <c r="HT14" s="27"/>
      <c r="HU14" s="27"/>
      <c r="HV14" s="27"/>
      <c r="HW14" s="27"/>
      <c r="HX14" s="27"/>
      <c r="HY14" s="27"/>
      <c r="HZ14" s="27"/>
      <c r="IA14" s="27"/>
      <c r="IB14" s="27"/>
      <c r="IC14" s="27"/>
      <c r="ID14" s="27"/>
      <c r="IE14" s="27"/>
      <c r="IF14" s="27"/>
      <c r="IG14" s="27"/>
      <c r="IH14" s="27"/>
      <c r="II14" s="27"/>
      <c r="IJ14" s="27"/>
      <c r="IK14" s="27"/>
      <c r="IL14" s="27"/>
      <c r="IM14" s="27"/>
      <c r="IN14" s="27"/>
      <c r="IO14" s="27"/>
      <c r="IP14" s="27"/>
      <c r="IQ14" s="27"/>
      <c r="IR14" s="27"/>
      <c r="IS14" s="27"/>
      <c r="IT14" s="27"/>
      <c r="IU14" s="27"/>
      <c r="IV14" s="27"/>
    </row>
    <row r="15" spans="1:256" ht="18" customHeight="1" x14ac:dyDescent="0.25">
      <c r="A15" s="1312"/>
      <c r="B15" s="1309"/>
      <c r="C15" s="1309"/>
      <c r="D15" s="1309"/>
      <c r="E15" s="1309"/>
      <c r="F15" s="1304"/>
      <c r="G15" s="1304"/>
      <c r="H15" s="1304"/>
      <c r="I15" s="1304"/>
      <c r="J15" s="1304"/>
      <c r="K15" s="1308" t="s">
        <v>1243</v>
      </c>
      <c r="L15" s="1300" t="s">
        <v>822</v>
      </c>
      <c r="M15" s="1301"/>
      <c r="N15" s="1301"/>
      <c r="O15" s="1301"/>
      <c r="P15" s="1301"/>
      <c r="Q15" s="1301"/>
      <c r="R15" s="1301"/>
      <c r="S15" s="1301"/>
      <c r="T15" s="1309"/>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row>
    <row r="16" spans="1:256" ht="19.899999999999999" customHeight="1" x14ac:dyDescent="0.25">
      <c r="A16" s="1313"/>
      <c r="B16" s="1310"/>
      <c r="C16" s="1310"/>
      <c r="D16" s="1310"/>
      <c r="E16" s="1310"/>
      <c r="F16" s="1305"/>
      <c r="G16" s="1305"/>
      <c r="H16" s="1305"/>
      <c r="I16" s="1305"/>
      <c r="J16" s="1305"/>
      <c r="K16" s="1310"/>
      <c r="L16" s="1302"/>
      <c r="M16" s="1302"/>
      <c r="N16" s="1302"/>
      <c r="O16" s="1302"/>
      <c r="P16" s="1302"/>
      <c r="Q16" s="1302"/>
      <c r="R16" s="1302"/>
      <c r="S16" s="1302"/>
      <c r="T16" s="1310"/>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c r="GH16" s="27"/>
      <c r="GI16" s="27"/>
      <c r="GJ16" s="27"/>
      <c r="GK16" s="27"/>
      <c r="GL16" s="27"/>
      <c r="GM16" s="27"/>
      <c r="GN16" s="27"/>
      <c r="GO16" s="27"/>
      <c r="GP16" s="27"/>
      <c r="GQ16" s="27"/>
      <c r="GR16" s="27"/>
      <c r="GS16" s="27"/>
      <c r="GT16" s="27"/>
      <c r="GU16" s="27"/>
      <c r="GV16" s="27"/>
      <c r="GW16" s="27"/>
      <c r="GX16" s="27"/>
      <c r="GY16" s="27"/>
      <c r="GZ16" s="27"/>
      <c r="HA16" s="27"/>
      <c r="HB16" s="27"/>
      <c r="HC16" s="27"/>
      <c r="HD16" s="27"/>
      <c r="HE16" s="27"/>
      <c r="HF16" s="27"/>
      <c r="HG16" s="27"/>
      <c r="HH16" s="27"/>
      <c r="HI16" s="27"/>
      <c r="HJ16" s="27"/>
      <c r="HK16" s="27"/>
      <c r="HL16" s="27"/>
      <c r="HM16" s="27"/>
      <c r="HN16" s="27"/>
      <c r="HO16" s="27"/>
      <c r="HP16" s="27"/>
      <c r="HQ16" s="27"/>
      <c r="HR16" s="27"/>
      <c r="HS16" s="27"/>
      <c r="HT16" s="27"/>
      <c r="HU16" s="27"/>
      <c r="HV16" s="27"/>
      <c r="HW16" s="27"/>
      <c r="HX16" s="27"/>
      <c r="HY16" s="27"/>
      <c r="HZ16" s="27"/>
      <c r="IA16" s="27"/>
      <c r="IB16" s="27"/>
      <c r="IC16" s="27"/>
      <c r="ID16" s="27"/>
      <c r="IE16" s="27"/>
      <c r="IF16" s="27"/>
      <c r="IG16" s="27"/>
      <c r="IH16" s="27"/>
      <c r="II16" s="27"/>
      <c r="IJ16" s="27"/>
      <c r="IK16" s="27"/>
      <c r="IL16" s="27"/>
      <c r="IM16" s="27"/>
      <c r="IN16" s="27"/>
      <c r="IO16" s="27"/>
      <c r="IP16" s="27"/>
      <c r="IQ16" s="27"/>
      <c r="IR16" s="27"/>
      <c r="IS16" s="27"/>
      <c r="IT16" s="27"/>
      <c r="IU16" s="27"/>
      <c r="IV16" s="27"/>
    </row>
    <row r="17" spans="1:256" ht="28.15" customHeight="1" x14ac:dyDescent="0.25">
      <c r="A17" s="831" t="s">
        <v>915</v>
      </c>
      <c r="B17" s="226"/>
      <c r="C17" s="478" t="s">
        <v>957</v>
      </c>
      <c r="D17" s="446"/>
      <c r="E17" s="11"/>
      <c r="F17" s="11"/>
      <c r="G17" s="11"/>
      <c r="H17" s="11"/>
      <c r="I17" s="11"/>
      <c r="J17" s="11"/>
      <c r="K17" s="212"/>
      <c r="L17" s="212"/>
      <c r="M17" s="212"/>
      <c r="N17" s="212"/>
      <c r="O17" s="212"/>
      <c r="P17" s="212"/>
      <c r="Q17" s="212"/>
      <c r="R17" s="212"/>
      <c r="S17" s="212"/>
      <c r="T17" s="226"/>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H17" s="27"/>
      <c r="II17" s="27"/>
      <c r="IJ17" s="27"/>
      <c r="IK17" s="27"/>
      <c r="IL17" s="27"/>
      <c r="IM17" s="27"/>
      <c r="IN17" s="27"/>
      <c r="IO17" s="27"/>
      <c r="IP17" s="27"/>
      <c r="IQ17" s="27"/>
      <c r="IR17" s="27"/>
      <c r="IS17" s="27"/>
      <c r="IT17" s="27"/>
      <c r="IU17" s="27"/>
      <c r="IV17" s="27"/>
    </row>
    <row r="18" spans="1:256" ht="14.1" customHeight="1" x14ac:dyDescent="0.25">
      <c r="A18" s="479">
        <v>0</v>
      </c>
      <c r="B18" s="417" t="s">
        <v>242</v>
      </c>
      <c r="C18" s="417" t="s">
        <v>1282</v>
      </c>
      <c r="D18" s="479"/>
      <c r="E18" s="460"/>
      <c r="F18" s="460"/>
      <c r="G18" s="460"/>
      <c r="H18" s="460"/>
      <c r="I18" s="375"/>
      <c r="J18" s="375"/>
      <c r="K18" s="375"/>
      <c r="L18" s="375"/>
      <c r="M18" s="375"/>
      <c r="N18" s="375"/>
      <c r="O18" s="375"/>
      <c r="P18" s="417"/>
      <c r="Q18" s="417"/>
      <c r="R18" s="417"/>
      <c r="S18" s="417"/>
      <c r="T18" s="417"/>
    </row>
    <row r="19" spans="1:256" ht="14.1" customHeight="1" x14ac:dyDescent="0.25">
      <c r="A19" s="458">
        <v>1</v>
      </c>
      <c r="B19" s="396" t="str">
        <f>'Tiên lượng'!C8</f>
        <v>SA.12112</v>
      </c>
      <c r="C19" s="396" t="str">
        <f>'Tiên lượng'!D8</f>
        <v>Phá dỡ kết cấu bê tông không cốt thép bằng búa căn. (Bê tông mặt đường cũ)</v>
      </c>
      <c r="D19" s="458" t="str">
        <f>'Tiên lượng'!E8</f>
        <v>m3</v>
      </c>
      <c r="E19" s="263">
        <f>'Tiên lượng'!M8</f>
        <v>40.799999999999997</v>
      </c>
      <c r="F19" s="263"/>
      <c r="G19" s="263"/>
      <c r="H19" s="263"/>
      <c r="I19" s="168">
        <f t="shared" ref="I19:I40" si="0">F19+G19+H19</f>
        <v>0</v>
      </c>
      <c r="J19" s="168">
        <f t="shared" ref="J19:J40" si="1">H19</f>
        <v>0</v>
      </c>
      <c r="K19" s="168">
        <f>'Chiết tính'!J21</f>
        <v>380225.94964056002</v>
      </c>
      <c r="L19" s="168"/>
      <c r="M19" s="168">
        <f t="shared" ref="M19:M40" si="2">ROUND(E19*K19,0)</f>
        <v>15513219</v>
      </c>
      <c r="N19" s="168"/>
      <c r="O19" s="168">
        <f t="shared" ref="O19:O40" si="3">ROUND(H19*(K19+L19),0)</f>
        <v>0</v>
      </c>
      <c r="P19" s="396">
        <f t="shared" ref="P19:P40" si="4">ROUND(J19*(K19+L19),0)</f>
        <v>0</v>
      </c>
      <c r="Q19" s="396">
        <f t="shared" ref="Q19:Q40" si="5">N19+O19-P19</f>
        <v>0</v>
      </c>
      <c r="R19" s="396">
        <f t="shared" ref="R19:R40" si="6">ROUND(G19*(K19+L19),0)</f>
        <v>0</v>
      </c>
      <c r="S19" s="396">
        <f t="shared" ref="S19:S40" si="7">R19+P19</f>
        <v>0</v>
      </c>
      <c r="T19" s="396"/>
    </row>
    <row r="20" spans="1:256" ht="14.1" customHeight="1" x14ac:dyDescent="0.25">
      <c r="A20" s="458">
        <v>2</v>
      </c>
      <c r="B20" s="396" t="str">
        <f>'Tiên lượng'!C10</f>
        <v>AB.55321</v>
      </c>
      <c r="C20" s="396" t="str">
        <f>'Tiên lượng'!D10</f>
        <v>Xúc đá tảng, cục bê tông lên phương tiện vận chuyển bằng máy đào 3,6m3, ĐK 0,4÷1m</v>
      </c>
      <c r="D20" s="458" t="str">
        <f>'Tiên lượng'!E10</f>
        <v>100m3</v>
      </c>
      <c r="E20" s="263">
        <f>'Tiên lượng'!M10</f>
        <v>0.53039999999999998</v>
      </c>
      <c r="F20" s="263"/>
      <c r="G20" s="263"/>
      <c r="H20" s="263"/>
      <c r="I20" s="168">
        <f t="shared" si="0"/>
        <v>0</v>
      </c>
      <c r="J20" s="168">
        <f t="shared" si="1"/>
        <v>0</v>
      </c>
      <c r="K20" s="168">
        <f>'Chiết tính'!J36</f>
        <v>10704800.601168251</v>
      </c>
      <c r="L20" s="168"/>
      <c r="M20" s="168">
        <f t="shared" si="2"/>
        <v>5677826</v>
      </c>
      <c r="N20" s="168"/>
      <c r="O20" s="168">
        <f t="shared" si="3"/>
        <v>0</v>
      </c>
      <c r="P20" s="396">
        <f t="shared" si="4"/>
        <v>0</v>
      </c>
      <c r="Q20" s="396">
        <f t="shared" si="5"/>
        <v>0</v>
      </c>
      <c r="R20" s="396">
        <f t="shared" si="6"/>
        <v>0</v>
      </c>
      <c r="S20" s="396">
        <f t="shared" si="7"/>
        <v>0</v>
      </c>
      <c r="T20" s="396"/>
    </row>
    <row r="21" spans="1:256" ht="14.1" customHeight="1" x14ac:dyDescent="0.25">
      <c r="A21" s="458">
        <v>3</v>
      </c>
      <c r="B21" s="396" t="str">
        <f>'Tiên lượng'!C12</f>
        <v>AB.56412</v>
      </c>
      <c r="C21" s="396" t="str">
        <f>'Tiên lượng'!D12</f>
        <v>Vận chuyển đá tảng, cục bê tông, ĐK 0,4÷1m, ô tô tự đổ 12T trong phạm vi ≤1000m</v>
      </c>
      <c r="D21" s="458" t="str">
        <f>'Tiên lượng'!E12</f>
        <v>100m3</v>
      </c>
      <c r="E21" s="263">
        <f>'Tiên lượng'!M12</f>
        <v>0.53039999999999998</v>
      </c>
      <c r="F21" s="263"/>
      <c r="G21" s="263"/>
      <c r="H21" s="263"/>
      <c r="I21" s="168">
        <f t="shared" si="0"/>
        <v>0</v>
      </c>
      <c r="J21" s="168">
        <f t="shared" si="1"/>
        <v>0</v>
      </c>
      <c r="K21" s="168">
        <f>'Chiết tính'!J50</f>
        <v>9259963.9998075645</v>
      </c>
      <c r="L21" s="168"/>
      <c r="M21" s="168">
        <f t="shared" si="2"/>
        <v>4911485</v>
      </c>
      <c r="N21" s="168"/>
      <c r="O21" s="168">
        <f t="shared" si="3"/>
        <v>0</v>
      </c>
      <c r="P21" s="396">
        <f t="shared" si="4"/>
        <v>0</v>
      </c>
      <c r="Q21" s="396">
        <f t="shared" si="5"/>
        <v>0</v>
      </c>
      <c r="R21" s="396">
        <f t="shared" si="6"/>
        <v>0</v>
      </c>
      <c r="S21" s="396">
        <f t="shared" si="7"/>
        <v>0</v>
      </c>
      <c r="T21" s="396"/>
    </row>
    <row r="22" spans="1:256" ht="14.1" customHeight="1" x14ac:dyDescent="0.25">
      <c r="A22" s="458">
        <v>4</v>
      </c>
      <c r="B22" s="396" t="str">
        <f>'Tiên lượng'!C13</f>
        <v>TT</v>
      </c>
      <c r="C22" s="396" t="str">
        <f>'Tiên lượng'!D13</f>
        <v>Đào xúc đất sạt lở ta luy đồi xuống đường bằng máy xúc đào 0,4m3</v>
      </c>
      <c r="D22" s="458" t="str">
        <f>'Tiên lượng'!E13</f>
        <v>ca</v>
      </c>
      <c r="E22" s="263">
        <f>'Tiên lượng'!M13</f>
        <v>2</v>
      </c>
      <c r="F22" s="263"/>
      <c r="G22" s="263"/>
      <c r="H22" s="263"/>
      <c r="I22" s="168">
        <f t="shared" si="0"/>
        <v>0</v>
      </c>
      <c r="J22" s="168">
        <f t="shared" si="1"/>
        <v>0</v>
      </c>
      <c r="K22" s="168">
        <f>'Chiết tính'!J65</f>
        <v>4004052.48</v>
      </c>
      <c r="L22" s="168"/>
      <c r="M22" s="168">
        <f t="shared" si="2"/>
        <v>8008105</v>
      </c>
      <c r="N22" s="168"/>
      <c r="O22" s="168">
        <f t="shared" si="3"/>
        <v>0</v>
      </c>
      <c r="P22" s="396">
        <f t="shared" si="4"/>
        <v>0</v>
      </c>
      <c r="Q22" s="396">
        <f t="shared" si="5"/>
        <v>0</v>
      </c>
      <c r="R22" s="396">
        <f t="shared" si="6"/>
        <v>0</v>
      </c>
      <c r="S22" s="396">
        <f t="shared" si="7"/>
        <v>0</v>
      </c>
      <c r="T22" s="396"/>
    </row>
    <row r="23" spans="1:256" ht="14.1" customHeight="1" x14ac:dyDescent="0.25">
      <c r="A23" s="458">
        <v>5</v>
      </c>
      <c r="B23" s="396" t="str">
        <f>'Tiên lượng'!C14</f>
        <v>TT</v>
      </c>
      <c r="C23" s="396" t="str">
        <f>'Tiên lượng'!D14</f>
        <v>vận chuyển đất sạt lở ta luy đồi bằng ô tô</v>
      </c>
      <c r="D23" s="458" t="str">
        <f>'Tiên lượng'!E14</f>
        <v>ca</v>
      </c>
      <c r="E23" s="263">
        <f>'Tiên lượng'!M14</f>
        <v>2</v>
      </c>
      <c r="F23" s="263"/>
      <c r="G23" s="263"/>
      <c r="H23" s="263"/>
      <c r="I23" s="168">
        <f t="shared" si="0"/>
        <v>0</v>
      </c>
      <c r="J23" s="168">
        <f t="shared" si="1"/>
        <v>0</v>
      </c>
      <c r="K23" s="168">
        <f>'Chiết tính'!J80</f>
        <v>2502532.7999999998</v>
      </c>
      <c r="L23" s="168"/>
      <c r="M23" s="168">
        <f t="shared" si="2"/>
        <v>5005066</v>
      </c>
      <c r="N23" s="168"/>
      <c r="O23" s="168">
        <f t="shared" si="3"/>
        <v>0</v>
      </c>
      <c r="P23" s="396">
        <f t="shared" si="4"/>
        <v>0</v>
      </c>
      <c r="Q23" s="396">
        <f t="shared" si="5"/>
        <v>0</v>
      </c>
      <c r="R23" s="396">
        <f t="shared" si="6"/>
        <v>0</v>
      </c>
      <c r="S23" s="396">
        <f t="shared" si="7"/>
        <v>0</v>
      </c>
      <c r="T23" s="396"/>
    </row>
    <row r="24" spans="1:256" ht="14.1" customHeight="1" x14ac:dyDescent="0.25">
      <c r="A24" s="458">
        <v>6</v>
      </c>
      <c r="B24" s="396" t="str">
        <f>'Tiên lượng'!C15</f>
        <v>AB.31113</v>
      </c>
      <c r="C24" s="396" t="str">
        <f>'Tiên lượng'!D15</f>
        <v>Đào nền đường bằng máy đào 0,4m3 - Cấp đất III (Bổ sung TT09/2024). Đào hạ nền đường trung bình 50cm, dài 50m</v>
      </c>
      <c r="D24" s="458" t="str">
        <f>'Tiên lượng'!E15</f>
        <v>100m3</v>
      </c>
      <c r="E24" s="263">
        <f>'Tiên lượng'!M15</f>
        <v>0.875</v>
      </c>
      <c r="F24" s="263"/>
      <c r="G24" s="263"/>
      <c r="H24" s="263"/>
      <c r="I24" s="168">
        <f t="shared" si="0"/>
        <v>0</v>
      </c>
      <c r="J24" s="168">
        <f t="shared" si="1"/>
        <v>0</v>
      </c>
      <c r="K24" s="168">
        <f>'Chiết tính'!J95</f>
        <v>8197109.8508344321</v>
      </c>
      <c r="L24" s="168"/>
      <c r="M24" s="168">
        <f t="shared" si="2"/>
        <v>7172471</v>
      </c>
      <c r="N24" s="168"/>
      <c r="O24" s="168">
        <f t="shared" si="3"/>
        <v>0</v>
      </c>
      <c r="P24" s="396">
        <f t="shared" si="4"/>
        <v>0</v>
      </c>
      <c r="Q24" s="396">
        <f t="shared" si="5"/>
        <v>0</v>
      </c>
      <c r="R24" s="396">
        <f t="shared" si="6"/>
        <v>0</v>
      </c>
      <c r="S24" s="396">
        <f t="shared" si="7"/>
        <v>0</v>
      </c>
      <c r="T24" s="396"/>
    </row>
    <row r="25" spans="1:256" ht="14.1" customHeight="1" x14ac:dyDescent="0.25">
      <c r="A25" s="458">
        <v>7</v>
      </c>
      <c r="B25" s="396" t="str">
        <f>'Tiên lượng'!C17</f>
        <v>AB.41123.VD</v>
      </c>
      <c r="C25" s="396" t="str">
        <f>'Tiên lượng'!D17</f>
        <v>Vận chuyển đất bằng ô tô tự đổ 7T, phạm vi ≤300m - Cấp đất III</v>
      </c>
      <c r="D25" s="458" t="str">
        <f>'Tiên lượng'!E17</f>
        <v>ca</v>
      </c>
      <c r="E25" s="263">
        <f>'Tiên lượng'!M17</f>
        <v>1</v>
      </c>
      <c r="F25" s="263"/>
      <c r="G25" s="263"/>
      <c r="H25" s="263"/>
      <c r="I25" s="168">
        <f t="shared" si="0"/>
        <v>0</v>
      </c>
      <c r="J25" s="168">
        <f t="shared" si="1"/>
        <v>0</v>
      </c>
      <c r="K25" s="168">
        <f>'Chiết tính'!J109</f>
        <v>2502532.7999999998</v>
      </c>
      <c r="L25" s="168"/>
      <c r="M25" s="168">
        <f t="shared" si="2"/>
        <v>2502533</v>
      </c>
      <c r="N25" s="168"/>
      <c r="O25" s="168">
        <f t="shared" si="3"/>
        <v>0</v>
      </c>
      <c r="P25" s="396">
        <f t="shared" si="4"/>
        <v>0</v>
      </c>
      <c r="Q25" s="396">
        <f t="shared" si="5"/>
        <v>0</v>
      </c>
      <c r="R25" s="396">
        <f t="shared" si="6"/>
        <v>0</v>
      </c>
      <c r="S25" s="396">
        <f t="shared" si="7"/>
        <v>0</v>
      </c>
      <c r="T25" s="396"/>
    </row>
    <row r="26" spans="1:256" ht="14.1" customHeight="1" x14ac:dyDescent="0.25">
      <c r="A26" s="458">
        <v>8</v>
      </c>
      <c r="B26" s="396" t="str">
        <f>'Tiên lượng'!C18</f>
        <v>AD.11212.VD</v>
      </c>
      <c r="C26" s="396" t="str">
        <f>'Tiên lượng'!D18</f>
        <v>Bù vênh mặt đường bằng Đá dăm cấp phối loại II (Subbase)</v>
      </c>
      <c r="D26" s="458" t="str">
        <f>'Tiên lượng'!E18</f>
        <v>100m3</v>
      </c>
      <c r="E26" s="263">
        <f>'Tiên lượng'!M18</f>
        <v>0.5</v>
      </c>
      <c r="F26" s="263"/>
      <c r="G26" s="263"/>
      <c r="H26" s="263"/>
      <c r="I26" s="168">
        <f t="shared" si="0"/>
        <v>0</v>
      </c>
      <c r="J26" s="168">
        <f t="shared" si="1"/>
        <v>0</v>
      </c>
      <c r="K26" s="168">
        <f>'Chiết tính'!J127</f>
        <v>69011418.714301124</v>
      </c>
      <c r="L26" s="168"/>
      <c r="M26" s="168">
        <f t="shared" si="2"/>
        <v>34505709</v>
      </c>
      <c r="N26" s="168"/>
      <c r="O26" s="168">
        <f t="shared" si="3"/>
        <v>0</v>
      </c>
      <c r="P26" s="396">
        <f t="shared" si="4"/>
        <v>0</v>
      </c>
      <c r="Q26" s="396">
        <f t="shared" si="5"/>
        <v>0</v>
      </c>
      <c r="R26" s="396">
        <f t="shared" si="6"/>
        <v>0</v>
      </c>
      <c r="S26" s="396">
        <f t="shared" si="7"/>
        <v>0</v>
      </c>
      <c r="T26" s="396"/>
    </row>
    <row r="27" spans="1:256" ht="14.1" customHeight="1" x14ac:dyDescent="0.25">
      <c r="A27" s="458">
        <v>9</v>
      </c>
      <c r="B27" s="396" t="str">
        <f>'Tiên lượng'!C20</f>
        <v>AD.11222.VD</v>
      </c>
      <c r="C27" s="396" t="str">
        <f>'Tiên lượng'!D20</f>
        <v>Thi công lớp đệm móng bằng đá mạt. chiều dài 150m</v>
      </c>
      <c r="D27" s="458" t="str">
        <f>'Tiên lượng'!E20</f>
        <v>100m3</v>
      </c>
      <c r="E27" s="263">
        <f>'Tiên lượng'!M20</f>
        <v>0.16649999999999998</v>
      </c>
      <c r="F27" s="263"/>
      <c r="G27" s="263"/>
      <c r="H27" s="263"/>
      <c r="I27" s="168">
        <f t="shared" si="0"/>
        <v>0</v>
      </c>
      <c r="J27" s="168">
        <f t="shared" si="1"/>
        <v>0</v>
      </c>
      <c r="K27" s="168">
        <f>'Chiết tính'!J142</f>
        <v>68021777.244737417</v>
      </c>
      <c r="L27" s="168"/>
      <c r="M27" s="168">
        <f t="shared" si="2"/>
        <v>11325626</v>
      </c>
      <c r="N27" s="168"/>
      <c r="O27" s="168">
        <f t="shared" si="3"/>
        <v>0</v>
      </c>
      <c r="P27" s="396">
        <f t="shared" si="4"/>
        <v>0</v>
      </c>
      <c r="Q27" s="396">
        <f t="shared" si="5"/>
        <v>0</v>
      </c>
      <c r="R27" s="396">
        <f t="shared" si="6"/>
        <v>0</v>
      </c>
      <c r="S27" s="396">
        <f t="shared" si="7"/>
        <v>0</v>
      </c>
      <c r="T27" s="396"/>
    </row>
    <row r="28" spans="1:256" ht="14.1" customHeight="1" x14ac:dyDescent="0.25">
      <c r="A28" s="458">
        <v>10</v>
      </c>
      <c r="B28" s="396" t="str">
        <f>'Tiên lượng'!C22</f>
        <v>TT.00001</v>
      </c>
      <c r="C28" s="396" t="str">
        <f>'Tiên lượng'!D22</f>
        <v xml:space="preserve">San gạt tạo phẳng nền đường bằng máy San </v>
      </c>
      <c r="D28" s="458" t="str">
        <f>'Tiên lượng'!E22</f>
        <v>ca</v>
      </c>
      <c r="E28" s="263">
        <f>'Tiên lượng'!M22</f>
        <v>1</v>
      </c>
      <c r="F28" s="263"/>
      <c r="G28" s="263"/>
      <c r="H28" s="263"/>
      <c r="I28" s="168">
        <f t="shared" si="0"/>
        <v>0</v>
      </c>
      <c r="J28" s="168">
        <f t="shared" si="1"/>
        <v>0</v>
      </c>
      <c r="K28" s="168">
        <f>'Chiết tính'!J157</f>
        <v>6256332</v>
      </c>
      <c r="L28" s="168"/>
      <c r="M28" s="168">
        <f t="shared" si="2"/>
        <v>6256332</v>
      </c>
      <c r="N28" s="168"/>
      <c r="O28" s="168">
        <f t="shared" si="3"/>
        <v>0</v>
      </c>
      <c r="P28" s="396">
        <f t="shared" si="4"/>
        <v>0</v>
      </c>
      <c r="Q28" s="396">
        <f t="shared" si="5"/>
        <v>0</v>
      </c>
      <c r="R28" s="396">
        <f t="shared" si="6"/>
        <v>0</v>
      </c>
      <c r="S28" s="396">
        <f t="shared" si="7"/>
        <v>0</v>
      </c>
      <c r="T28" s="396"/>
    </row>
    <row r="29" spans="1:256" ht="14.1" customHeight="1" x14ac:dyDescent="0.25">
      <c r="A29" s="458">
        <v>11</v>
      </c>
      <c r="B29" s="396" t="str">
        <f>'Tiên lượng'!C23</f>
        <v>TT</v>
      </c>
      <c r="C29" s="396" t="str">
        <f>'Tiên lượng'!D23</f>
        <v>Công tác đào rãnh, hố ga để đặt cống thoát nước đầu tuyến bằng thủ công</v>
      </c>
      <c r="D29" s="458" t="str">
        <f>'Tiên lượng'!E23</f>
        <v>công</v>
      </c>
      <c r="E29" s="263">
        <f>'Tiên lượng'!M23</f>
        <v>4</v>
      </c>
      <c r="F29" s="263"/>
      <c r="G29" s="263"/>
      <c r="H29" s="263"/>
      <c r="I29" s="168">
        <f t="shared" si="0"/>
        <v>0</v>
      </c>
      <c r="J29" s="168">
        <f t="shared" si="1"/>
        <v>0</v>
      </c>
      <c r="K29" s="168">
        <f>'Chiết tính'!J172</f>
        <v>563069.88</v>
      </c>
      <c r="L29" s="168"/>
      <c r="M29" s="168">
        <f t="shared" si="2"/>
        <v>2252280</v>
      </c>
      <c r="N29" s="168"/>
      <c r="O29" s="168">
        <f t="shared" si="3"/>
        <v>0</v>
      </c>
      <c r="P29" s="396">
        <f t="shared" si="4"/>
        <v>0</v>
      </c>
      <c r="Q29" s="396">
        <f t="shared" si="5"/>
        <v>0</v>
      </c>
      <c r="R29" s="396">
        <f t="shared" si="6"/>
        <v>0</v>
      </c>
      <c r="S29" s="396">
        <f t="shared" si="7"/>
        <v>0</v>
      </c>
      <c r="T29" s="396"/>
    </row>
    <row r="30" spans="1:256" ht="14.1" customHeight="1" x14ac:dyDescent="0.25">
      <c r="A30" s="458">
        <v>12</v>
      </c>
      <c r="B30" s="396" t="str">
        <f>'Tiên lượng'!C24</f>
        <v>BB.11211</v>
      </c>
      <c r="C30" s="396" t="str">
        <f>'Tiên lượng'!D24</f>
        <v>Lắp đặt ống bê tông bằng cần cẩu, đoạn ống dài 1m - Đường kính ≤600mm</v>
      </c>
      <c r="D30" s="458" t="str">
        <f>'Tiên lượng'!E24</f>
        <v>1 đoạn ống</v>
      </c>
      <c r="E30" s="263">
        <f>'Tiên lượng'!M24</f>
        <v>5</v>
      </c>
      <c r="F30" s="263"/>
      <c r="G30" s="263"/>
      <c r="H30" s="263"/>
      <c r="I30" s="168">
        <f t="shared" si="0"/>
        <v>0</v>
      </c>
      <c r="J30" s="168">
        <f t="shared" si="1"/>
        <v>0</v>
      </c>
      <c r="K30" s="168">
        <f>'Chiết tính'!J190</f>
        <v>1481577.578956689</v>
      </c>
      <c r="L30" s="168"/>
      <c r="M30" s="168">
        <f t="shared" si="2"/>
        <v>7407888</v>
      </c>
      <c r="N30" s="168"/>
      <c r="O30" s="168">
        <f t="shared" si="3"/>
        <v>0</v>
      </c>
      <c r="P30" s="396">
        <f t="shared" si="4"/>
        <v>0</v>
      </c>
      <c r="Q30" s="396">
        <f t="shared" si="5"/>
        <v>0</v>
      </c>
      <c r="R30" s="396">
        <f t="shared" si="6"/>
        <v>0</v>
      </c>
      <c r="S30" s="396">
        <f t="shared" si="7"/>
        <v>0</v>
      </c>
      <c r="T30" s="396"/>
    </row>
    <row r="31" spans="1:256" ht="14.1" customHeight="1" x14ac:dyDescent="0.25">
      <c r="A31" s="458">
        <v>13</v>
      </c>
      <c r="B31" s="396" t="str">
        <f>'Tiên lượng'!C25</f>
        <v>TT</v>
      </c>
      <c r="C31" s="396" t="str">
        <f>'Tiên lượng'!D25</f>
        <v>Thi công hố ga 2 đầu cống</v>
      </c>
      <c r="D31" s="458" t="str">
        <f>'Tiên lượng'!E25</f>
        <v>cái</v>
      </c>
      <c r="E31" s="263">
        <f>'Tiên lượng'!M25</f>
        <v>2</v>
      </c>
      <c r="F31" s="263"/>
      <c r="G31" s="263"/>
      <c r="H31" s="263"/>
      <c r="I31" s="168">
        <f t="shared" si="0"/>
        <v>0</v>
      </c>
      <c r="J31" s="168">
        <f t="shared" si="1"/>
        <v>0</v>
      </c>
      <c r="K31" s="168">
        <f>'Chiết tính'!J206</f>
        <v>2502532.7999999998</v>
      </c>
      <c r="L31" s="168"/>
      <c r="M31" s="168">
        <f t="shared" si="2"/>
        <v>5005066</v>
      </c>
      <c r="N31" s="168"/>
      <c r="O31" s="168">
        <f t="shared" si="3"/>
        <v>0</v>
      </c>
      <c r="P31" s="396">
        <f t="shared" si="4"/>
        <v>0</v>
      </c>
      <c r="Q31" s="396">
        <f t="shared" si="5"/>
        <v>0</v>
      </c>
      <c r="R31" s="396">
        <f t="shared" si="6"/>
        <v>0</v>
      </c>
      <c r="S31" s="396">
        <f t="shared" si="7"/>
        <v>0</v>
      </c>
      <c r="T31" s="396"/>
    </row>
    <row r="32" spans="1:256" ht="14.1" customHeight="1" x14ac:dyDescent="0.25">
      <c r="A32" s="458">
        <v>14</v>
      </c>
      <c r="B32" s="396" t="str">
        <f>'Tiên lượng'!C27</f>
        <v>AL.16201</v>
      </c>
      <c r="C32" s="396" t="str">
        <f>'Tiên lượng'!D27</f>
        <v>Rải giấy ni long lớp cách ly</v>
      </c>
      <c r="D32" s="458" t="str">
        <f>'Tiên lượng'!E27</f>
        <v>100m2</v>
      </c>
      <c r="E32" s="263">
        <f>'Tiên lượng'!M27</f>
        <v>18.594999999999999</v>
      </c>
      <c r="F32" s="263"/>
      <c r="G32" s="263"/>
      <c r="H32" s="263"/>
      <c r="I32" s="168">
        <f t="shared" si="0"/>
        <v>0</v>
      </c>
      <c r="J32" s="168">
        <f t="shared" si="1"/>
        <v>0</v>
      </c>
      <c r="K32" s="168">
        <f>'Chiết tính'!J222</f>
        <v>602334.61963199999</v>
      </c>
      <c r="L32" s="168"/>
      <c r="M32" s="168">
        <f t="shared" si="2"/>
        <v>11200412</v>
      </c>
      <c r="N32" s="168"/>
      <c r="O32" s="168">
        <f t="shared" si="3"/>
        <v>0</v>
      </c>
      <c r="P32" s="396">
        <f t="shared" si="4"/>
        <v>0</v>
      </c>
      <c r="Q32" s="396">
        <f t="shared" si="5"/>
        <v>0</v>
      </c>
      <c r="R32" s="396">
        <f t="shared" si="6"/>
        <v>0</v>
      </c>
      <c r="S32" s="396">
        <f t="shared" si="7"/>
        <v>0</v>
      </c>
      <c r="T32" s="396"/>
    </row>
    <row r="33" spans="1:256" ht="14.1" customHeight="1" x14ac:dyDescent="0.25">
      <c r="A33" s="458">
        <v>15</v>
      </c>
      <c r="B33" s="396" t="str">
        <f>'Tiên lượng'!C30</f>
        <v>AF.82411</v>
      </c>
      <c r="C33" s="396" t="str">
        <f>'Tiên lượng'!D30</f>
        <v>Ván khuôn thép mặt đường bê tông</v>
      </c>
      <c r="D33" s="458" t="str">
        <f>'Tiên lượng'!E30</f>
        <v>100m2</v>
      </c>
      <c r="E33" s="263">
        <f>'Tiên lượng'!M30</f>
        <v>2.0680000000000001</v>
      </c>
      <c r="F33" s="263"/>
      <c r="G33" s="263"/>
      <c r="H33" s="263"/>
      <c r="I33" s="168">
        <f t="shared" si="0"/>
        <v>0</v>
      </c>
      <c r="J33" s="168">
        <f t="shared" si="1"/>
        <v>0</v>
      </c>
      <c r="K33" s="168">
        <f>'Chiết tính'!J241</f>
        <v>5175138.9463067772</v>
      </c>
      <c r="L33" s="168"/>
      <c r="M33" s="168">
        <f t="shared" si="2"/>
        <v>10702187</v>
      </c>
      <c r="N33" s="168"/>
      <c r="O33" s="168">
        <f t="shared" si="3"/>
        <v>0</v>
      </c>
      <c r="P33" s="396">
        <f t="shared" si="4"/>
        <v>0</v>
      </c>
      <c r="Q33" s="396">
        <f t="shared" si="5"/>
        <v>0</v>
      </c>
      <c r="R33" s="396">
        <f t="shared" si="6"/>
        <v>0</v>
      </c>
      <c r="S33" s="396">
        <f t="shared" si="7"/>
        <v>0</v>
      </c>
      <c r="T33" s="396"/>
    </row>
    <row r="34" spans="1:256" ht="14.1" customHeight="1" x14ac:dyDescent="0.25">
      <c r="A34" s="458">
        <v>16</v>
      </c>
      <c r="B34" s="396" t="str">
        <f>'Tiên lượng'!C32</f>
        <v>AF.15434A</v>
      </c>
      <c r="C34" s="396" t="str">
        <f>'Tiên lượng'!D32</f>
        <v>Bê tông sản xuất bằng máy trộn và đổ bằng thủ công, bê tông mặt đường dày mặt đường ≤25cm, bê tông M250, đá 2x4, PCB30</v>
      </c>
      <c r="D34" s="458" t="str">
        <f>'Tiên lượng'!E32</f>
        <v>m3</v>
      </c>
      <c r="E34" s="263">
        <f>'Tiên lượng'!M32</f>
        <v>371.90000000000003</v>
      </c>
      <c r="F34" s="263"/>
      <c r="G34" s="263"/>
      <c r="H34" s="263"/>
      <c r="I34" s="168">
        <f t="shared" si="0"/>
        <v>0</v>
      </c>
      <c r="J34" s="168">
        <f t="shared" si="1"/>
        <v>0</v>
      </c>
      <c r="K34" s="168">
        <f>'Chiết tính'!J266</f>
        <v>2525582.2940861685</v>
      </c>
      <c r="L34" s="168"/>
      <c r="M34" s="168">
        <f t="shared" si="2"/>
        <v>939264055</v>
      </c>
      <c r="N34" s="168"/>
      <c r="O34" s="168">
        <f t="shared" si="3"/>
        <v>0</v>
      </c>
      <c r="P34" s="396">
        <f t="shared" si="4"/>
        <v>0</v>
      </c>
      <c r="Q34" s="396">
        <f t="shared" si="5"/>
        <v>0</v>
      </c>
      <c r="R34" s="396">
        <f t="shared" si="6"/>
        <v>0</v>
      </c>
      <c r="S34" s="396">
        <f t="shared" si="7"/>
        <v>0</v>
      </c>
      <c r="T34" s="396"/>
    </row>
    <row r="35" spans="1:256" ht="14.1" customHeight="1" x14ac:dyDescent="0.25">
      <c r="A35" s="458">
        <v>17</v>
      </c>
      <c r="B35" s="396" t="str">
        <f>'Tiên lượng'!C35</f>
        <v>AL.22111</v>
      </c>
      <c r="C35" s="396" t="str">
        <f>'Tiên lượng'!D35</f>
        <v>Cắt khe co, dãn mặt đường BTXM ( 5m cắt 1 mạch)</v>
      </c>
      <c r="D35" s="458" t="str">
        <f>'Tiên lượng'!E35</f>
        <v>10m</v>
      </c>
      <c r="E35" s="263">
        <f>'Tiên lượng'!M35</f>
        <v>36.190000000000005</v>
      </c>
      <c r="F35" s="263"/>
      <c r="G35" s="263"/>
      <c r="H35" s="263"/>
      <c r="I35" s="168">
        <f t="shared" si="0"/>
        <v>0</v>
      </c>
      <c r="J35" s="168">
        <f t="shared" si="1"/>
        <v>0</v>
      </c>
      <c r="K35" s="168">
        <f>'Chiết tính'!J283</f>
        <v>281988.82437393599</v>
      </c>
      <c r="L35" s="168"/>
      <c r="M35" s="168">
        <f t="shared" si="2"/>
        <v>10205176</v>
      </c>
      <c r="N35" s="168"/>
      <c r="O35" s="168">
        <f t="shared" si="3"/>
        <v>0</v>
      </c>
      <c r="P35" s="396">
        <f t="shared" si="4"/>
        <v>0</v>
      </c>
      <c r="Q35" s="396">
        <f t="shared" si="5"/>
        <v>0</v>
      </c>
      <c r="R35" s="396">
        <f t="shared" si="6"/>
        <v>0</v>
      </c>
      <c r="S35" s="396">
        <f t="shared" si="7"/>
        <v>0</v>
      </c>
      <c r="T35" s="396"/>
    </row>
    <row r="36" spans="1:256" ht="14.1" customHeight="1" x14ac:dyDescent="0.25">
      <c r="A36" s="458">
        <v>18</v>
      </c>
      <c r="B36" s="396" t="str">
        <f>'Tiên lượng'!C37</f>
        <v>TT</v>
      </c>
      <c r="C36" s="396" t="str">
        <f>'Tiên lượng'!D37</f>
        <v>Công tác đánh bóng mặt đường bằng máy</v>
      </c>
      <c r="D36" s="458" t="str">
        <f>'Tiên lượng'!E37</f>
        <v>m2</v>
      </c>
      <c r="E36" s="263">
        <f>'Tiên lượng'!M37</f>
        <v>1859.5</v>
      </c>
      <c r="F36" s="263"/>
      <c r="G36" s="263"/>
      <c r="H36" s="263"/>
      <c r="I36" s="168">
        <f t="shared" si="0"/>
        <v>0</v>
      </c>
      <c r="J36" s="168">
        <f t="shared" si="1"/>
        <v>0</v>
      </c>
      <c r="K36" s="168">
        <f>'Chiết tính'!J299</f>
        <v>21271.5288</v>
      </c>
      <c r="L36" s="168"/>
      <c r="M36" s="168">
        <f t="shared" si="2"/>
        <v>39554408</v>
      </c>
      <c r="N36" s="168"/>
      <c r="O36" s="168">
        <f t="shared" si="3"/>
        <v>0</v>
      </c>
      <c r="P36" s="396">
        <f t="shared" si="4"/>
        <v>0</v>
      </c>
      <c r="Q36" s="396">
        <f t="shared" si="5"/>
        <v>0</v>
      </c>
      <c r="R36" s="396">
        <f t="shared" si="6"/>
        <v>0</v>
      </c>
      <c r="S36" s="396">
        <f t="shared" si="7"/>
        <v>0</v>
      </c>
      <c r="T36" s="396"/>
    </row>
    <row r="37" spans="1:256" ht="14.1" customHeight="1" x14ac:dyDescent="0.25">
      <c r="A37" s="458">
        <v>19</v>
      </c>
      <c r="B37" s="396" t="str">
        <f>'Tiên lượng'!C40</f>
        <v>AB.27103</v>
      </c>
      <c r="C37" s="396" t="str">
        <f>'Tiên lượng'!D40</f>
        <v>Đào kênh mương, chiều rộng kênh mương ≤6m bằng máy đào 0,4m3 - Cấp đất III</v>
      </c>
      <c r="D37" s="458" t="str">
        <f>'Tiên lượng'!E40</f>
        <v>100m3</v>
      </c>
      <c r="E37" s="263">
        <f>'Tiên lượng'!M40</f>
        <v>0.41360000000000008</v>
      </c>
      <c r="F37" s="263"/>
      <c r="G37" s="263"/>
      <c r="H37" s="263"/>
      <c r="I37" s="168">
        <f t="shared" si="0"/>
        <v>0</v>
      </c>
      <c r="J37" s="168">
        <f t="shared" si="1"/>
        <v>0</v>
      </c>
      <c r="K37" s="168">
        <f>'Chiết tính'!J314</f>
        <v>4923337.4083363675</v>
      </c>
      <c r="L37" s="168"/>
      <c r="M37" s="168">
        <f t="shared" si="2"/>
        <v>2036292</v>
      </c>
      <c r="N37" s="168"/>
      <c r="O37" s="168">
        <f t="shared" si="3"/>
        <v>0</v>
      </c>
      <c r="P37" s="396">
        <f t="shared" si="4"/>
        <v>0</v>
      </c>
      <c r="Q37" s="396">
        <f t="shared" si="5"/>
        <v>0</v>
      </c>
      <c r="R37" s="396">
        <f t="shared" si="6"/>
        <v>0</v>
      </c>
      <c r="S37" s="396">
        <f t="shared" si="7"/>
        <v>0</v>
      </c>
      <c r="T37" s="396"/>
    </row>
    <row r="38" spans="1:256" ht="14.1" customHeight="1" x14ac:dyDescent="0.25">
      <c r="A38" s="458">
        <v>20</v>
      </c>
      <c r="B38" s="396" t="str">
        <f>'Tiên lượng'!C42</f>
        <v>AB.11503</v>
      </c>
      <c r="C38" s="396" t="str">
        <f>'Tiên lượng'!D42</f>
        <v>Đào kênh mương, rãnh thoát nước, đường ống, đường cáp bằng thủ công, rộng ≤1m, sâu ≤1m - Cấp đất III</v>
      </c>
      <c r="D38" s="458" t="str">
        <f>'Tiên lượng'!E42</f>
        <v>1m3</v>
      </c>
      <c r="E38" s="263">
        <f>'Tiên lượng'!M42</f>
        <v>17.13</v>
      </c>
      <c r="F38" s="263"/>
      <c r="G38" s="263"/>
      <c r="H38" s="263"/>
      <c r="I38" s="168">
        <f t="shared" si="0"/>
        <v>0</v>
      </c>
      <c r="J38" s="168">
        <f t="shared" si="1"/>
        <v>0</v>
      </c>
      <c r="K38" s="168">
        <f>'Chiết tính'!J328</f>
        <v>463420.47537302406</v>
      </c>
      <c r="L38" s="168"/>
      <c r="M38" s="168">
        <f t="shared" si="2"/>
        <v>7938393</v>
      </c>
      <c r="N38" s="168"/>
      <c r="O38" s="168">
        <f t="shared" si="3"/>
        <v>0</v>
      </c>
      <c r="P38" s="396">
        <f t="shared" si="4"/>
        <v>0</v>
      </c>
      <c r="Q38" s="396">
        <f t="shared" si="5"/>
        <v>0</v>
      </c>
      <c r="R38" s="396">
        <f t="shared" si="6"/>
        <v>0</v>
      </c>
      <c r="S38" s="396">
        <f t="shared" si="7"/>
        <v>0</v>
      </c>
      <c r="T38" s="396"/>
    </row>
    <row r="39" spans="1:256" ht="14.1" customHeight="1" x14ac:dyDescent="0.25">
      <c r="A39" s="458">
        <v>21</v>
      </c>
      <c r="B39" s="396" t="str">
        <f>'Tiên lượng'!C44</f>
        <v>TT</v>
      </c>
      <c r="C39" s="396" t="str">
        <f>'Tiên lượng'!D44</f>
        <v>Ô tô vận chuyển đất đi đổ</v>
      </c>
      <c r="D39" s="458" t="str">
        <f>'Tiên lượng'!E44</f>
        <v>ca</v>
      </c>
      <c r="E39" s="263">
        <f>'Tiên lượng'!M44</f>
        <v>1</v>
      </c>
      <c r="F39" s="263"/>
      <c r="G39" s="263"/>
      <c r="H39" s="263"/>
      <c r="I39" s="168">
        <f t="shared" si="0"/>
        <v>0</v>
      </c>
      <c r="J39" s="168">
        <f t="shared" si="1"/>
        <v>0</v>
      </c>
      <c r="K39" s="168">
        <f>'Chiết tính'!J343</f>
        <v>2502532.7999999998</v>
      </c>
      <c r="L39" s="168"/>
      <c r="M39" s="168">
        <f t="shared" si="2"/>
        <v>2502533</v>
      </c>
      <c r="N39" s="168"/>
      <c r="O39" s="168">
        <f t="shared" si="3"/>
        <v>0</v>
      </c>
      <c r="P39" s="396">
        <f t="shared" si="4"/>
        <v>0</v>
      </c>
      <c r="Q39" s="396">
        <f t="shared" si="5"/>
        <v>0</v>
      </c>
      <c r="R39" s="396">
        <f t="shared" si="6"/>
        <v>0</v>
      </c>
      <c r="S39" s="396">
        <f t="shared" si="7"/>
        <v>0</v>
      </c>
      <c r="T39" s="396"/>
    </row>
    <row r="40" spans="1:256" ht="14.1" customHeight="1" x14ac:dyDescent="0.25">
      <c r="A40" s="480">
        <v>22</v>
      </c>
      <c r="B40" s="419" t="str">
        <f>'Tiên lượng'!C45</f>
        <v>SF.11311.VD</v>
      </c>
      <c r="C40" s="419" t="str">
        <f>'Tiên lượng'!D45</f>
        <v>Đắp phụ nền, lề đường bằng Đá dăm cấp phối loại II (Subbase)</v>
      </c>
      <c r="D40" s="480" t="str">
        <f>'Tiên lượng'!E45</f>
        <v>m3</v>
      </c>
      <c r="E40" s="278">
        <f>'Tiên lượng'!M45</f>
        <v>113.74000000000001</v>
      </c>
      <c r="F40" s="278"/>
      <c r="G40" s="278"/>
      <c r="H40" s="278"/>
      <c r="I40" s="716">
        <f t="shared" si="0"/>
        <v>0</v>
      </c>
      <c r="J40" s="716">
        <f t="shared" si="1"/>
        <v>0</v>
      </c>
      <c r="K40" s="716">
        <f>'Chiết tính'!J359</f>
        <v>844577.96312817931</v>
      </c>
      <c r="L40" s="716"/>
      <c r="M40" s="716">
        <f t="shared" si="2"/>
        <v>96062298</v>
      </c>
      <c r="N40" s="716"/>
      <c r="O40" s="716">
        <f t="shared" si="3"/>
        <v>0</v>
      </c>
      <c r="P40" s="419">
        <f t="shared" si="4"/>
        <v>0</v>
      </c>
      <c r="Q40" s="419">
        <f t="shared" si="5"/>
        <v>0</v>
      </c>
      <c r="R40" s="419">
        <f t="shared" si="6"/>
        <v>0</v>
      </c>
      <c r="S40" s="419">
        <f t="shared" si="7"/>
        <v>0</v>
      </c>
      <c r="T40" s="419"/>
    </row>
    <row r="41" spans="1:256" ht="66.2" customHeight="1" x14ac:dyDescent="0.25">
      <c r="A41" s="764" t="s">
        <v>587</v>
      </c>
      <c r="B41" s="525"/>
      <c r="C41" s="397" t="s">
        <v>246</v>
      </c>
      <c r="D41" s="372"/>
      <c r="E41" s="93"/>
      <c r="F41" s="93"/>
      <c r="G41" s="93"/>
      <c r="H41" s="93"/>
      <c r="I41" s="93"/>
      <c r="J41" s="93"/>
      <c r="K41" s="134"/>
      <c r="L41" s="134"/>
      <c r="M41" s="134"/>
      <c r="N41" s="134"/>
      <c r="O41" s="134"/>
      <c r="P41" s="134"/>
      <c r="Q41" s="134"/>
      <c r="R41" s="134"/>
      <c r="S41" s="134"/>
      <c r="T41" s="525"/>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c r="DJ41" s="27"/>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27"/>
      <c r="GQ41" s="27"/>
      <c r="GR41" s="27"/>
      <c r="GS41" s="27"/>
      <c r="GT41" s="27"/>
      <c r="GU41" s="27"/>
      <c r="GV41" s="27"/>
      <c r="GW41" s="27"/>
      <c r="GX41" s="27"/>
      <c r="GY41" s="27"/>
      <c r="GZ41" s="27"/>
      <c r="HA41" s="27"/>
      <c r="HB41" s="27"/>
      <c r="HC41" s="27"/>
      <c r="HD41" s="27"/>
      <c r="HE41" s="27"/>
      <c r="HF41" s="27"/>
      <c r="HG41" s="27"/>
      <c r="HH41" s="27"/>
      <c r="HI41" s="27"/>
      <c r="HJ41" s="27"/>
      <c r="HK41" s="27"/>
      <c r="HL41" s="27"/>
      <c r="HM41" s="27"/>
      <c r="HN41" s="27"/>
      <c r="HO41" s="27"/>
      <c r="HP41" s="27"/>
      <c r="HQ41" s="27"/>
      <c r="HR41" s="27"/>
      <c r="HS41" s="27"/>
      <c r="HT41" s="27"/>
      <c r="HU41" s="27"/>
      <c r="HV41" s="27"/>
      <c r="HW41" s="27"/>
      <c r="HX41" s="27"/>
      <c r="HY41" s="27"/>
      <c r="HZ41" s="27"/>
      <c r="IA41" s="27"/>
      <c r="IB41" s="27"/>
      <c r="IC41" s="27"/>
      <c r="ID41" s="27"/>
      <c r="IE41" s="27"/>
      <c r="IF41" s="27"/>
      <c r="IG41" s="27"/>
      <c r="IH41" s="27"/>
      <c r="II41" s="27"/>
      <c r="IJ41" s="27"/>
      <c r="IK41" s="27"/>
      <c r="IL41" s="27"/>
      <c r="IM41" s="27"/>
      <c r="IN41" s="27"/>
      <c r="IO41" s="27"/>
      <c r="IP41" s="27"/>
      <c r="IQ41" s="27"/>
      <c r="IR41" s="27"/>
      <c r="IS41" s="27"/>
      <c r="IT41" s="27"/>
      <c r="IU41" s="27"/>
      <c r="IV41" s="27"/>
    </row>
    <row r="42" spans="1:256" ht="40.9" customHeight="1" x14ac:dyDescent="0.25">
      <c r="A42" s="764" t="s">
        <v>1219</v>
      </c>
      <c r="B42" s="525"/>
      <c r="C42" s="397" t="s">
        <v>1311</v>
      </c>
      <c r="D42" s="372"/>
      <c r="E42" s="93"/>
      <c r="F42" s="93"/>
      <c r="G42" s="93"/>
      <c r="H42" s="93"/>
      <c r="I42" s="93"/>
      <c r="J42" s="93"/>
      <c r="K42" s="134"/>
      <c r="L42" s="134"/>
      <c r="M42" s="134"/>
      <c r="N42" s="134"/>
      <c r="O42" s="134"/>
      <c r="P42" s="134"/>
      <c r="Q42" s="134"/>
      <c r="R42" s="134"/>
      <c r="S42" s="134"/>
      <c r="T42" s="525"/>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27"/>
      <c r="GQ42" s="27"/>
      <c r="GR42" s="27"/>
      <c r="GS42" s="27"/>
      <c r="GT42" s="27"/>
      <c r="GU42" s="27"/>
      <c r="GV42" s="27"/>
      <c r="GW42" s="27"/>
      <c r="GX42" s="27"/>
      <c r="GY42" s="27"/>
      <c r="GZ42" s="27"/>
      <c r="HA42" s="27"/>
      <c r="HB42" s="27"/>
      <c r="HC42" s="27"/>
      <c r="HD42" s="27"/>
      <c r="HE42" s="27"/>
      <c r="HF42" s="27"/>
      <c r="HG42" s="27"/>
      <c r="HH42" s="27"/>
      <c r="HI42" s="27"/>
      <c r="HJ42" s="27"/>
      <c r="HK42" s="27"/>
      <c r="HL42" s="27"/>
      <c r="HM42" s="27"/>
      <c r="HN42" s="27"/>
      <c r="HO42" s="27"/>
      <c r="HP42" s="27"/>
      <c r="HQ42" s="27"/>
      <c r="HR42" s="27"/>
      <c r="HS42" s="27"/>
      <c r="HT42" s="27"/>
      <c r="HU42" s="27"/>
      <c r="HV42" s="27"/>
      <c r="HW42" s="27"/>
      <c r="HX42" s="27"/>
      <c r="HY42" s="27"/>
      <c r="HZ42" s="27"/>
      <c r="IA42" s="27"/>
      <c r="IB42" s="27"/>
      <c r="IC42" s="27"/>
      <c r="ID42" s="27"/>
      <c r="IE42" s="27"/>
      <c r="IF42" s="27"/>
      <c r="IG42" s="27"/>
      <c r="IH42" s="27"/>
      <c r="II42" s="27"/>
      <c r="IJ42" s="27"/>
      <c r="IK42" s="27"/>
      <c r="IL42" s="27"/>
      <c r="IM42" s="27"/>
      <c r="IN42" s="27"/>
      <c r="IO42" s="27"/>
      <c r="IP42" s="27"/>
      <c r="IQ42" s="27"/>
      <c r="IR42" s="27"/>
      <c r="IS42" s="27"/>
      <c r="IT42" s="27"/>
      <c r="IU42" s="27"/>
      <c r="IV42" s="27"/>
    </row>
    <row r="43" spans="1:256" ht="15" customHeight="1" x14ac:dyDescent="0.25">
      <c r="A43" s="764" t="s">
        <v>1070</v>
      </c>
      <c r="B43" s="525"/>
      <c r="C43" s="397" t="s">
        <v>122</v>
      </c>
      <c r="D43" s="372"/>
      <c r="E43" s="93"/>
      <c r="F43" s="93"/>
      <c r="G43" s="93"/>
      <c r="H43" s="93"/>
      <c r="I43" s="93"/>
      <c r="J43" s="93"/>
      <c r="K43" s="134"/>
      <c r="L43" s="134"/>
      <c r="M43" s="134"/>
      <c r="N43" s="134"/>
      <c r="O43" s="134"/>
      <c r="P43" s="134"/>
      <c r="Q43" s="134"/>
      <c r="R43" s="134"/>
      <c r="S43" s="134"/>
      <c r="T43" s="525"/>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27"/>
      <c r="DT43" s="27"/>
      <c r="DU43" s="27"/>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27"/>
      <c r="GD43" s="27"/>
      <c r="GE43" s="27"/>
      <c r="GF43" s="27"/>
      <c r="GG43" s="27"/>
      <c r="GH43" s="27"/>
      <c r="GI43" s="27"/>
      <c r="GJ43" s="27"/>
      <c r="GK43" s="27"/>
      <c r="GL43" s="27"/>
      <c r="GM43" s="27"/>
      <c r="GN43" s="27"/>
      <c r="GO43" s="27"/>
      <c r="GP43" s="27"/>
      <c r="GQ43" s="27"/>
      <c r="GR43" s="27"/>
      <c r="GS43" s="27"/>
      <c r="GT43" s="27"/>
      <c r="GU43" s="27"/>
      <c r="GV43" s="27"/>
      <c r="GW43" s="27"/>
      <c r="GX43" s="27"/>
      <c r="GY43" s="27"/>
      <c r="GZ43" s="27"/>
      <c r="HA43" s="27"/>
      <c r="HB43" s="27"/>
      <c r="HC43" s="27"/>
      <c r="HD43" s="27"/>
      <c r="HE43" s="27"/>
      <c r="HF43" s="27"/>
      <c r="HG43" s="27"/>
      <c r="HH43" s="27"/>
      <c r="HI43" s="27"/>
      <c r="HJ43" s="27"/>
      <c r="HK43" s="27"/>
      <c r="HL43" s="27"/>
      <c r="HM43" s="27"/>
      <c r="HN43" s="27"/>
      <c r="HO43" s="27"/>
      <c r="HP43" s="27"/>
      <c r="HQ43" s="27"/>
      <c r="HR43" s="27"/>
      <c r="HS43" s="27"/>
      <c r="HT43" s="27"/>
      <c r="HU43" s="27"/>
      <c r="HV43" s="27"/>
      <c r="HW43" s="27"/>
      <c r="HX43" s="27"/>
      <c r="HY43" s="27"/>
      <c r="HZ43" s="27"/>
      <c r="IA43" s="27"/>
      <c r="IB43" s="27"/>
      <c r="IC43" s="27"/>
      <c r="ID43" s="27"/>
      <c r="IE43" s="27"/>
      <c r="IF43" s="27"/>
      <c r="IG43" s="27"/>
      <c r="IH43" s="27"/>
      <c r="II43" s="27"/>
      <c r="IJ43" s="27"/>
      <c r="IK43" s="27"/>
      <c r="IL43" s="27"/>
      <c r="IM43" s="27"/>
      <c r="IN43" s="27"/>
      <c r="IO43" s="27"/>
      <c r="IP43" s="27"/>
      <c r="IQ43" s="27"/>
      <c r="IR43" s="27"/>
      <c r="IS43" s="27"/>
      <c r="IT43" s="27"/>
      <c r="IU43" s="27"/>
      <c r="IV43" s="27"/>
    </row>
    <row r="44" spans="1:256" ht="15" customHeight="1" x14ac:dyDescent="0.25">
      <c r="A44" s="515"/>
      <c r="B44" s="525"/>
      <c r="C44" s="525" t="s">
        <v>1368</v>
      </c>
      <c r="D44" s="372"/>
      <c r="E44" s="93"/>
      <c r="F44" s="93"/>
      <c r="G44" s="93"/>
      <c r="H44" s="93"/>
      <c r="I44" s="93"/>
      <c r="J44" s="93"/>
      <c r="K44" s="134"/>
      <c r="L44" s="134"/>
      <c r="M44" s="134"/>
      <c r="N44" s="134"/>
      <c r="O44" s="134"/>
      <c r="P44" s="134"/>
      <c r="Q44" s="134"/>
      <c r="R44" s="134"/>
      <c r="S44" s="134"/>
      <c r="T44" s="525"/>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27"/>
      <c r="DT44" s="27"/>
      <c r="DU44" s="27"/>
      <c r="DV44" s="27"/>
      <c r="DW44" s="27"/>
      <c r="DX44" s="27"/>
      <c r="DY44" s="27"/>
      <c r="DZ44" s="27"/>
      <c r="EA44" s="27"/>
      <c r="EB44" s="27"/>
      <c r="EC44" s="27"/>
      <c r="ED44" s="27"/>
      <c r="EE44" s="27"/>
      <c r="EF44" s="27"/>
      <c r="EG44" s="27"/>
      <c r="EH44" s="27"/>
      <c r="EI44" s="27"/>
      <c r="EJ44" s="27"/>
      <c r="EK44" s="27"/>
      <c r="EL44" s="27"/>
      <c r="EM44" s="27"/>
      <c r="EN44" s="27"/>
      <c r="EO44" s="27"/>
      <c r="EP44" s="27"/>
      <c r="EQ44" s="27"/>
      <c r="ER44" s="27"/>
      <c r="ES44" s="27"/>
      <c r="ET44" s="27"/>
      <c r="EU44" s="27"/>
      <c r="EV44" s="27"/>
      <c r="EW44" s="27"/>
      <c r="EX44" s="27"/>
      <c r="EY44" s="27"/>
      <c r="EZ44" s="27"/>
      <c r="FA44" s="27"/>
      <c r="FB44" s="27"/>
      <c r="FC44" s="27"/>
      <c r="FD44" s="27"/>
      <c r="FE44" s="27"/>
      <c r="FF44" s="27"/>
      <c r="FG44" s="27"/>
      <c r="FH44" s="27"/>
      <c r="FI44" s="27"/>
      <c r="FJ44" s="27"/>
      <c r="FK44" s="27"/>
      <c r="FL44" s="27"/>
      <c r="FM44" s="27"/>
      <c r="FN44" s="27"/>
      <c r="FO44" s="27"/>
      <c r="FP44" s="27"/>
      <c r="FQ44" s="27"/>
      <c r="FR44" s="27"/>
      <c r="FS44" s="27"/>
      <c r="FT44" s="27"/>
      <c r="FU44" s="27"/>
      <c r="FV44" s="27"/>
      <c r="FW44" s="27"/>
      <c r="FX44" s="27"/>
      <c r="FY44" s="27"/>
      <c r="FZ44" s="27"/>
      <c r="GA44" s="27"/>
      <c r="GB44" s="27"/>
      <c r="GC44" s="27"/>
      <c r="GD44" s="27"/>
      <c r="GE44" s="27"/>
      <c r="GF44" s="27"/>
      <c r="GG44" s="27"/>
      <c r="GH44" s="27"/>
      <c r="GI44" s="27"/>
      <c r="GJ44" s="27"/>
      <c r="GK44" s="27"/>
      <c r="GL44" s="27"/>
      <c r="GM44" s="27"/>
      <c r="GN44" s="27"/>
      <c r="GO44" s="27"/>
      <c r="GP44" s="27"/>
      <c r="GQ44" s="27"/>
      <c r="GR44" s="27"/>
      <c r="GS44" s="27"/>
      <c r="GT44" s="27"/>
      <c r="GU44" s="27"/>
      <c r="GV44" s="27"/>
      <c r="GW44" s="27"/>
      <c r="GX44" s="27"/>
      <c r="GY44" s="27"/>
      <c r="GZ44" s="27"/>
      <c r="HA44" s="27"/>
      <c r="HB44" s="27"/>
      <c r="HC44" s="27"/>
      <c r="HD44" s="27"/>
      <c r="HE44" s="27"/>
      <c r="HF44" s="27"/>
      <c r="HG44" s="27"/>
      <c r="HH44" s="27"/>
      <c r="HI44" s="27"/>
      <c r="HJ44" s="27"/>
      <c r="HK44" s="27"/>
      <c r="HL44" s="27"/>
      <c r="HM44" s="27"/>
      <c r="HN44" s="27"/>
      <c r="HO44" s="27"/>
      <c r="HP44" s="27"/>
      <c r="HQ44" s="27"/>
      <c r="HR44" s="27"/>
      <c r="HS44" s="27"/>
      <c r="HT44" s="27"/>
      <c r="HU44" s="27"/>
      <c r="HV44" s="27"/>
      <c r="HW44" s="27"/>
      <c r="HX44" s="27"/>
      <c r="HY44" s="27"/>
      <c r="HZ44" s="27"/>
      <c r="IA44" s="27"/>
      <c r="IB44" s="27"/>
      <c r="IC44" s="27"/>
      <c r="ID44" s="27"/>
      <c r="IE44" s="27"/>
      <c r="IF44" s="27"/>
      <c r="IG44" s="27"/>
      <c r="IH44" s="27"/>
      <c r="II44" s="27"/>
      <c r="IJ44" s="27"/>
      <c r="IK44" s="27"/>
      <c r="IL44" s="27"/>
      <c r="IM44" s="27"/>
      <c r="IN44" s="27"/>
      <c r="IO44" s="27"/>
      <c r="IP44" s="27"/>
      <c r="IQ44" s="27"/>
      <c r="IR44" s="27"/>
      <c r="IS44" s="27"/>
      <c r="IT44" s="27"/>
      <c r="IU44" s="27"/>
      <c r="IV44" s="27"/>
    </row>
    <row r="45" spans="1:256" ht="15" customHeight="1" x14ac:dyDescent="0.25">
      <c r="A45" s="536"/>
      <c r="B45" s="171"/>
      <c r="C45" s="171" t="s">
        <v>270</v>
      </c>
      <c r="D45" s="388"/>
      <c r="E45" s="120"/>
      <c r="F45" s="120"/>
      <c r="G45" s="120"/>
      <c r="H45" s="120"/>
      <c r="I45" s="120"/>
      <c r="J45" s="120"/>
      <c r="K45" s="154"/>
      <c r="L45" s="154"/>
      <c r="M45" s="154"/>
      <c r="N45" s="154"/>
      <c r="O45" s="154"/>
      <c r="P45" s="154"/>
      <c r="Q45" s="154"/>
      <c r="R45" s="154"/>
      <c r="S45" s="154"/>
      <c r="T45" s="171"/>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c r="DJ45" s="27"/>
      <c r="DK45" s="27"/>
      <c r="DL45" s="27"/>
      <c r="DM45" s="27"/>
      <c r="DN45" s="27"/>
      <c r="DO45" s="27"/>
      <c r="DP45" s="27"/>
      <c r="DQ45" s="27"/>
      <c r="DR45" s="27"/>
      <c r="DS45" s="27"/>
      <c r="DT45" s="27"/>
      <c r="DU45" s="27"/>
      <c r="DV45" s="27"/>
      <c r="DW45" s="27"/>
      <c r="DX45" s="27"/>
      <c r="DY45" s="27"/>
      <c r="DZ45" s="27"/>
      <c r="EA45" s="27"/>
      <c r="EB45" s="27"/>
      <c r="EC45" s="27"/>
      <c r="ED45" s="27"/>
      <c r="EE45" s="27"/>
      <c r="EF45" s="27"/>
      <c r="EG45" s="27"/>
      <c r="EH45" s="27"/>
      <c r="EI45" s="27"/>
      <c r="EJ45" s="27"/>
      <c r="EK45" s="27"/>
      <c r="EL45" s="27"/>
      <c r="EM45" s="27"/>
      <c r="EN45" s="27"/>
      <c r="EO45" s="27"/>
      <c r="EP45" s="27"/>
      <c r="EQ45" s="27"/>
      <c r="ER45" s="27"/>
      <c r="ES45" s="27"/>
      <c r="ET45" s="27"/>
      <c r="EU45" s="27"/>
      <c r="EV45" s="27"/>
      <c r="EW45" s="27"/>
      <c r="EX45" s="27"/>
      <c r="EY45" s="27"/>
      <c r="EZ45" s="27"/>
      <c r="FA45" s="27"/>
      <c r="FB45" s="27"/>
      <c r="FC45" s="27"/>
      <c r="FD45" s="27"/>
      <c r="FE45" s="27"/>
      <c r="FF45" s="27"/>
      <c r="FG45" s="27"/>
      <c r="FH45" s="27"/>
      <c r="FI45" s="27"/>
      <c r="FJ45" s="27"/>
      <c r="FK45" s="27"/>
      <c r="FL45" s="27"/>
      <c r="FM45" s="27"/>
      <c r="FN45" s="27"/>
      <c r="FO45" s="27"/>
      <c r="FP45" s="27"/>
      <c r="FQ45" s="27"/>
      <c r="FR45" s="27"/>
      <c r="FS45" s="27"/>
      <c r="FT45" s="27"/>
      <c r="FU45" s="27"/>
      <c r="FV45" s="27"/>
      <c r="FW45" s="27"/>
      <c r="FX45" s="27"/>
      <c r="FY45" s="27"/>
      <c r="FZ45" s="27"/>
      <c r="GA45" s="27"/>
      <c r="GB45" s="27"/>
      <c r="GC45" s="27"/>
      <c r="GD45" s="27"/>
      <c r="GE45" s="27"/>
      <c r="GF45" s="27"/>
      <c r="GG45" s="27"/>
      <c r="GH45" s="27"/>
      <c r="GI45" s="27"/>
      <c r="GJ45" s="27"/>
      <c r="GK45" s="27"/>
      <c r="GL45" s="27"/>
      <c r="GM45" s="27"/>
      <c r="GN45" s="27"/>
      <c r="GO45" s="27"/>
      <c r="GP45" s="27"/>
      <c r="GQ45" s="27"/>
      <c r="GR45" s="27"/>
      <c r="GS45" s="27"/>
      <c r="GT45" s="27"/>
      <c r="GU45" s="27"/>
      <c r="GV45" s="27"/>
      <c r="GW45" s="27"/>
      <c r="GX45" s="27"/>
      <c r="GY45" s="27"/>
      <c r="GZ45" s="27"/>
      <c r="HA45" s="27"/>
      <c r="HB45" s="27"/>
      <c r="HC45" s="27"/>
      <c r="HD45" s="27"/>
      <c r="HE45" s="27"/>
      <c r="HF45" s="27"/>
      <c r="HG45" s="27"/>
      <c r="HH45" s="27"/>
      <c r="HI45" s="27"/>
      <c r="HJ45" s="27"/>
      <c r="HK45" s="27"/>
      <c r="HL45" s="27"/>
      <c r="HM45" s="27"/>
      <c r="HN45" s="27"/>
      <c r="HO45" s="27"/>
      <c r="HP45" s="27"/>
      <c r="HQ45" s="27"/>
      <c r="HR45" s="27"/>
      <c r="HS45" s="27"/>
      <c r="HT45" s="27"/>
      <c r="HU45" s="27"/>
      <c r="HV45" s="27"/>
      <c r="HW45" s="27"/>
      <c r="HX45" s="27"/>
      <c r="HY45" s="27"/>
      <c r="HZ45" s="27"/>
      <c r="IA45" s="27"/>
      <c r="IB45" s="27"/>
      <c r="IC45" s="27"/>
      <c r="ID45" s="27"/>
      <c r="IE45" s="27"/>
      <c r="IF45" s="27"/>
      <c r="IG45" s="27"/>
      <c r="IH45" s="27"/>
      <c r="II45" s="27"/>
      <c r="IJ45" s="27"/>
      <c r="IK45" s="27"/>
      <c r="IL45" s="27"/>
      <c r="IM45" s="27"/>
      <c r="IN45" s="27"/>
      <c r="IO45" s="27"/>
      <c r="IP45" s="27"/>
      <c r="IQ45" s="27"/>
      <c r="IR45" s="27"/>
      <c r="IS45" s="27"/>
      <c r="IT45" s="27"/>
      <c r="IU45" s="27"/>
      <c r="IV45" s="27"/>
    </row>
    <row r="46" spans="1:256" ht="18" customHeight="1" x14ac:dyDescent="0.25">
      <c r="A46" s="493"/>
      <c r="B46" s="502"/>
      <c r="C46" s="112" t="s">
        <v>905</v>
      </c>
      <c r="D46" s="354"/>
      <c r="E46" s="78"/>
      <c r="F46" s="78"/>
      <c r="G46" s="78"/>
      <c r="H46" s="78"/>
      <c r="I46" s="78"/>
      <c r="J46" s="78"/>
      <c r="K46" s="116"/>
      <c r="L46" s="116"/>
      <c r="M46" s="788">
        <f t="shared" ref="M46:S46" si="8">SUM(M17:M45)</f>
        <v>1235009360</v>
      </c>
      <c r="N46" s="788">
        <f t="shared" si="8"/>
        <v>0</v>
      </c>
      <c r="O46" s="788">
        <f t="shared" si="8"/>
        <v>0</v>
      </c>
      <c r="P46" s="788">
        <f t="shared" si="8"/>
        <v>0</v>
      </c>
      <c r="Q46" s="788">
        <f t="shared" si="8"/>
        <v>0</v>
      </c>
      <c r="R46" s="788">
        <f t="shared" si="8"/>
        <v>0</v>
      </c>
      <c r="S46" s="788">
        <f t="shared" si="8"/>
        <v>0</v>
      </c>
      <c r="T46" s="502"/>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7"/>
      <c r="FJ46" s="27"/>
      <c r="FK46" s="27"/>
      <c r="FL46" s="27"/>
      <c r="FM46" s="27"/>
      <c r="FN46" s="27"/>
      <c r="FO46" s="27"/>
      <c r="FP46" s="27"/>
      <c r="FQ46" s="27"/>
      <c r="FR46" s="27"/>
      <c r="FS46" s="27"/>
      <c r="FT46" s="27"/>
      <c r="FU46" s="27"/>
      <c r="FV46" s="27"/>
      <c r="FW46" s="27"/>
      <c r="FX46" s="27"/>
      <c r="FY46" s="27"/>
      <c r="FZ46" s="27"/>
      <c r="GA46" s="27"/>
      <c r="GB46" s="27"/>
      <c r="GC46" s="27"/>
      <c r="GD46" s="27"/>
      <c r="GE46" s="27"/>
      <c r="GF46" s="27"/>
      <c r="GG46" s="27"/>
      <c r="GH46" s="27"/>
      <c r="GI46" s="27"/>
      <c r="GJ46" s="27"/>
      <c r="GK46" s="27"/>
      <c r="GL46" s="27"/>
      <c r="GM46" s="27"/>
      <c r="GN46" s="27"/>
      <c r="GO46" s="27"/>
      <c r="GP46" s="27"/>
      <c r="GQ46" s="27"/>
      <c r="GR46" s="27"/>
      <c r="GS46" s="27"/>
      <c r="GT46" s="27"/>
      <c r="GU46" s="27"/>
      <c r="GV46" s="27"/>
      <c r="GW46" s="27"/>
      <c r="GX46" s="27"/>
      <c r="GY46" s="27"/>
      <c r="GZ46" s="27"/>
      <c r="HA46" s="27"/>
      <c r="HB46" s="27"/>
      <c r="HC46" s="27"/>
      <c r="HD46" s="27"/>
      <c r="HE46" s="27"/>
      <c r="HF46" s="27"/>
      <c r="HG46" s="27"/>
      <c r="HH46" s="27"/>
      <c r="HI46" s="27"/>
      <c r="HJ46" s="27"/>
      <c r="HK46" s="27"/>
      <c r="HL46" s="27"/>
      <c r="HM46" s="27"/>
      <c r="HN46" s="27"/>
      <c r="HO46" s="27"/>
      <c r="HP46" s="27"/>
      <c r="HQ46" s="27"/>
      <c r="HR46" s="27"/>
      <c r="HS46" s="27"/>
      <c r="HT46" s="27"/>
      <c r="HU46" s="27"/>
      <c r="HV46" s="27"/>
      <c r="HW46" s="27"/>
      <c r="HX46" s="27"/>
      <c r="HY46" s="27"/>
      <c r="HZ46" s="27"/>
      <c r="IA46" s="27"/>
      <c r="IB46" s="27"/>
      <c r="IC46" s="27"/>
      <c r="ID46" s="27"/>
      <c r="IE46" s="27"/>
      <c r="IF46" s="27"/>
      <c r="IG46" s="27"/>
      <c r="IH46" s="27"/>
      <c r="II46" s="27"/>
      <c r="IJ46" s="27"/>
      <c r="IK46" s="27"/>
      <c r="IL46" s="27"/>
      <c r="IM46" s="27"/>
      <c r="IN46" s="27"/>
      <c r="IO46" s="27"/>
      <c r="IP46" s="27"/>
      <c r="IQ46" s="27"/>
      <c r="IR46" s="27"/>
      <c r="IS46" s="27"/>
      <c r="IT46" s="27"/>
      <c r="IU46" s="27"/>
      <c r="IV46" s="27"/>
    </row>
    <row r="47" spans="1:256" ht="16.5" customHeight="1" x14ac:dyDescent="0.25">
      <c r="A47" s="799"/>
      <c r="B47" s="53"/>
      <c r="C47" s="53"/>
      <c r="D47" s="799"/>
      <c r="E47" s="117"/>
      <c r="F47" s="117"/>
      <c r="G47" s="117"/>
      <c r="H47" s="117"/>
      <c r="I47" s="117"/>
      <c r="J47" s="117"/>
      <c r="K47" s="117"/>
      <c r="L47" s="117"/>
      <c r="M47" s="117"/>
      <c r="N47" s="117"/>
      <c r="O47" s="117"/>
      <c r="P47" s="117"/>
      <c r="Q47" s="117"/>
      <c r="R47" s="117"/>
      <c r="S47" s="117"/>
      <c r="T47" s="53"/>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c r="CS47" s="27"/>
      <c r="CT47" s="27"/>
      <c r="CU47" s="27"/>
      <c r="CV47" s="27"/>
      <c r="CW47" s="27"/>
      <c r="CX47" s="27"/>
      <c r="CY47" s="27"/>
      <c r="CZ47" s="27"/>
      <c r="DA47" s="27"/>
      <c r="DB47" s="27"/>
      <c r="DC47" s="27"/>
      <c r="DD47" s="27"/>
      <c r="DE47" s="27"/>
      <c r="DF47" s="27"/>
      <c r="DG47" s="27"/>
      <c r="DH47" s="27"/>
      <c r="DI47" s="27"/>
      <c r="DJ47" s="27"/>
      <c r="DK47" s="27"/>
      <c r="DL47" s="27"/>
      <c r="DM47" s="27"/>
      <c r="DN47" s="27"/>
      <c r="DO47" s="27"/>
      <c r="DP47" s="27"/>
      <c r="DQ47" s="27"/>
      <c r="DR47" s="27"/>
      <c r="DS47" s="27"/>
      <c r="DT47" s="27"/>
      <c r="DU47" s="27"/>
      <c r="DV47" s="27"/>
      <c r="DW47" s="27"/>
      <c r="DX47" s="27"/>
      <c r="DY47" s="27"/>
      <c r="DZ47" s="27"/>
      <c r="EA47" s="27"/>
      <c r="EB47" s="27"/>
      <c r="EC47" s="27"/>
      <c r="ED47" s="27"/>
      <c r="EE47" s="27"/>
      <c r="EF47" s="27"/>
      <c r="EG47" s="27"/>
      <c r="EH47" s="27"/>
      <c r="EI47" s="27"/>
      <c r="EJ47" s="27"/>
      <c r="EK47" s="27"/>
      <c r="EL47" s="27"/>
      <c r="EM47" s="27"/>
      <c r="EN47" s="27"/>
      <c r="EO47" s="27"/>
      <c r="EP47" s="27"/>
      <c r="EQ47" s="27"/>
      <c r="ER47" s="27"/>
      <c r="ES47" s="27"/>
      <c r="ET47" s="27"/>
      <c r="EU47" s="27"/>
      <c r="EV47" s="27"/>
      <c r="EW47" s="27"/>
      <c r="EX47" s="27"/>
      <c r="EY47" s="27"/>
      <c r="EZ47" s="27"/>
      <c r="FA47" s="27"/>
      <c r="FB47" s="27"/>
      <c r="FC47" s="27"/>
      <c r="FD47" s="27"/>
      <c r="FE47" s="27"/>
      <c r="FF47" s="27"/>
      <c r="FG47" s="27"/>
      <c r="FH47" s="27"/>
      <c r="FI47" s="27"/>
      <c r="FJ47" s="27"/>
      <c r="FK47" s="27"/>
      <c r="FL47" s="27"/>
      <c r="FM47" s="27"/>
      <c r="FN47" s="27"/>
      <c r="FO47" s="27"/>
      <c r="FP47" s="27"/>
      <c r="FQ47" s="27"/>
      <c r="FR47" s="27"/>
      <c r="FS47" s="27"/>
      <c r="FT47" s="27"/>
      <c r="FU47" s="27"/>
      <c r="FV47" s="27"/>
      <c r="FW47" s="27"/>
      <c r="FX47" s="27"/>
      <c r="FY47" s="27"/>
      <c r="FZ47" s="27"/>
      <c r="GA47" s="27"/>
      <c r="GB47" s="27"/>
      <c r="GC47" s="27"/>
      <c r="GD47" s="27"/>
      <c r="GE47" s="27"/>
      <c r="GF47" s="27"/>
      <c r="GG47" s="27"/>
      <c r="GH47" s="27"/>
      <c r="GI47" s="27"/>
      <c r="GJ47" s="27"/>
      <c r="GK47" s="27"/>
      <c r="GL47" s="27"/>
      <c r="GM47" s="27"/>
      <c r="GN47" s="27"/>
      <c r="GO47" s="27"/>
      <c r="GP47" s="27"/>
      <c r="GQ47" s="27"/>
      <c r="GR47" s="27"/>
      <c r="GS47" s="27"/>
      <c r="GT47" s="27"/>
      <c r="GU47" s="27"/>
      <c r="GV47" s="27"/>
      <c r="GW47" s="27"/>
      <c r="GX47" s="27"/>
      <c r="GY47" s="27"/>
      <c r="GZ47" s="27"/>
      <c r="HA47" s="27"/>
      <c r="HB47" s="27"/>
      <c r="HC47" s="27"/>
      <c r="HD47" s="27"/>
      <c r="HE47" s="27"/>
      <c r="HF47" s="27"/>
      <c r="HG47" s="27"/>
      <c r="HH47" s="27"/>
      <c r="HI47" s="27"/>
      <c r="HJ47" s="27"/>
      <c r="HK47" s="27"/>
      <c r="HL47" s="27"/>
      <c r="HM47" s="27"/>
      <c r="HN47" s="27"/>
      <c r="HO47" s="27"/>
      <c r="HP47" s="27"/>
      <c r="HQ47" s="27"/>
      <c r="HR47" s="27"/>
      <c r="HS47" s="27"/>
      <c r="HT47" s="27"/>
      <c r="HU47" s="27"/>
      <c r="HV47" s="27"/>
      <c r="HW47" s="27"/>
      <c r="HX47" s="27"/>
      <c r="HY47" s="27"/>
      <c r="HZ47" s="27"/>
      <c r="IA47" s="27"/>
      <c r="IB47" s="27"/>
      <c r="IC47" s="27"/>
      <c r="ID47" s="27"/>
      <c r="IE47" s="27"/>
      <c r="IF47" s="27"/>
      <c r="IG47" s="27"/>
      <c r="IH47" s="27"/>
      <c r="II47" s="27"/>
      <c r="IJ47" s="27"/>
      <c r="IK47" s="27"/>
      <c r="IL47" s="27"/>
      <c r="IM47" s="27"/>
      <c r="IN47" s="27"/>
      <c r="IO47" s="27"/>
      <c r="IP47" s="27"/>
      <c r="IQ47" s="27"/>
      <c r="IR47" s="27"/>
      <c r="IS47" s="27"/>
      <c r="IT47" s="27"/>
      <c r="IU47" s="27"/>
      <c r="IV47" s="27"/>
    </row>
    <row r="48" spans="1:256" ht="18" customHeight="1" x14ac:dyDescent="0.25">
      <c r="A48" s="1299" t="s">
        <v>733</v>
      </c>
      <c r="B48" s="1299"/>
      <c r="C48" s="1299"/>
      <c r="D48" s="1299"/>
      <c r="E48" s="1299"/>
      <c r="F48" s="1299"/>
      <c r="G48" s="1299"/>
      <c r="H48" s="1299"/>
      <c r="I48" s="1299"/>
      <c r="J48" s="1299"/>
      <c r="K48" s="1299"/>
      <c r="L48" s="1299"/>
      <c r="M48" s="1299"/>
      <c r="N48" s="1299"/>
      <c r="O48" s="1299"/>
      <c r="P48" s="1299"/>
      <c r="Q48" s="1299"/>
      <c r="R48" s="1299"/>
      <c r="S48" s="1299"/>
      <c r="T48" s="1299"/>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c r="DJ48" s="27"/>
      <c r="DK48" s="27"/>
      <c r="DL48" s="27"/>
      <c r="DM48" s="27"/>
      <c r="DN48" s="27"/>
      <c r="DO48" s="27"/>
      <c r="DP48" s="27"/>
      <c r="DQ48" s="27"/>
      <c r="DR48" s="27"/>
      <c r="DS48" s="27"/>
      <c r="DT48" s="27"/>
      <c r="DU48" s="27"/>
      <c r="DV48" s="27"/>
      <c r="DW48" s="27"/>
      <c r="DX48" s="27"/>
      <c r="DY48" s="27"/>
      <c r="DZ48" s="27"/>
      <c r="EA48" s="27"/>
      <c r="EB48" s="27"/>
      <c r="EC48" s="27"/>
      <c r="ED48" s="27"/>
      <c r="EE48" s="27"/>
      <c r="EF48" s="27"/>
      <c r="EG48" s="27"/>
      <c r="EH48" s="27"/>
      <c r="EI48" s="27"/>
      <c r="EJ48" s="27"/>
      <c r="EK48" s="27"/>
      <c r="EL48" s="27"/>
      <c r="EM48" s="27"/>
      <c r="EN48" s="27"/>
      <c r="EO48" s="27"/>
      <c r="EP48" s="27"/>
      <c r="EQ48" s="27"/>
      <c r="ER48" s="27"/>
      <c r="ES48" s="27"/>
      <c r="ET48" s="27"/>
      <c r="EU48" s="27"/>
      <c r="EV48" s="27"/>
      <c r="EW48" s="27"/>
      <c r="EX48" s="27"/>
      <c r="EY48" s="27"/>
      <c r="EZ48" s="27"/>
      <c r="FA48" s="27"/>
      <c r="FB48" s="27"/>
      <c r="FC48" s="27"/>
      <c r="FD48" s="27"/>
      <c r="FE48" s="27"/>
      <c r="FF48" s="27"/>
      <c r="FG48" s="27"/>
      <c r="FH48" s="27"/>
      <c r="FI48" s="27"/>
      <c r="FJ48" s="27"/>
      <c r="FK48" s="27"/>
      <c r="FL48" s="27"/>
      <c r="FM48" s="27"/>
      <c r="FN48" s="27"/>
      <c r="FO48" s="27"/>
      <c r="FP48" s="27"/>
      <c r="FQ48" s="27"/>
      <c r="FR48" s="27"/>
      <c r="FS48" s="27"/>
      <c r="FT48" s="27"/>
      <c r="FU48" s="27"/>
      <c r="FV48" s="27"/>
      <c r="FW48" s="27"/>
      <c r="FX48" s="27"/>
      <c r="FY48" s="27"/>
      <c r="FZ48" s="27"/>
      <c r="GA48" s="27"/>
      <c r="GB48" s="27"/>
      <c r="GC48" s="27"/>
      <c r="GD48" s="27"/>
      <c r="GE48" s="27"/>
      <c r="GF48" s="27"/>
      <c r="GG48" s="27"/>
      <c r="GH48" s="27"/>
      <c r="GI48" s="27"/>
      <c r="GJ48" s="27"/>
      <c r="GK48" s="27"/>
      <c r="GL48" s="27"/>
      <c r="GM48" s="27"/>
      <c r="GN48" s="27"/>
      <c r="GO48" s="27"/>
      <c r="GP48" s="27"/>
      <c r="GQ48" s="27"/>
      <c r="GR48" s="27"/>
      <c r="GS48" s="27"/>
      <c r="GT48" s="27"/>
      <c r="GU48" s="27"/>
      <c r="GV48" s="27"/>
      <c r="GW48" s="27"/>
      <c r="GX48" s="27"/>
      <c r="GY48" s="27"/>
      <c r="GZ48" s="27"/>
      <c r="HA48" s="27"/>
      <c r="HB48" s="27"/>
      <c r="HC48" s="27"/>
      <c r="HD48" s="27"/>
      <c r="HE48" s="27"/>
      <c r="HF48" s="27"/>
      <c r="HG48" s="27"/>
      <c r="HH48" s="27"/>
      <c r="HI48" s="27"/>
      <c r="HJ48" s="27"/>
      <c r="HK48" s="27"/>
      <c r="HL48" s="27"/>
      <c r="HM48" s="27"/>
      <c r="HN48" s="27"/>
      <c r="HO48" s="27"/>
      <c r="HP48" s="27"/>
      <c r="HQ48" s="27"/>
      <c r="HR48" s="27"/>
      <c r="HS48" s="27"/>
      <c r="HT48" s="27"/>
      <c r="HU48" s="27"/>
      <c r="HV48" s="27"/>
      <c r="HW48" s="27"/>
      <c r="HX48" s="27"/>
      <c r="HY48" s="27"/>
      <c r="HZ48" s="27"/>
      <c r="IA48" s="27"/>
      <c r="IB48" s="27"/>
      <c r="IC48" s="27"/>
      <c r="ID48" s="27"/>
      <c r="IE48" s="27"/>
      <c r="IF48" s="27"/>
      <c r="IG48" s="27"/>
      <c r="IH48" s="27"/>
      <c r="II48" s="27"/>
      <c r="IJ48" s="27"/>
      <c r="IK48" s="27"/>
      <c r="IL48" s="27"/>
      <c r="IM48" s="27"/>
      <c r="IN48" s="27"/>
      <c r="IO48" s="27"/>
      <c r="IP48" s="27"/>
      <c r="IQ48" s="27"/>
      <c r="IR48" s="27"/>
      <c r="IS48" s="27"/>
      <c r="IT48" s="27"/>
      <c r="IU48" s="27"/>
      <c r="IV48" s="27"/>
    </row>
    <row r="49" spans="1:256" ht="18" customHeight="1" x14ac:dyDescent="0.25">
      <c r="A49" s="1299" t="s">
        <v>746</v>
      </c>
      <c r="B49" s="1299"/>
      <c r="C49" s="1299"/>
      <c r="D49" s="1299"/>
      <c r="E49" s="1299"/>
      <c r="F49" s="1299"/>
      <c r="G49" s="1299"/>
      <c r="H49" s="1299"/>
      <c r="I49" s="1299"/>
      <c r="J49" s="1299"/>
      <c r="K49" s="1299"/>
      <c r="L49" s="1299"/>
      <c r="M49" s="1299"/>
      <c r="N49" s="1299"/>
      <c r="O49" s="1299"/>
      <c r="P49" s="1299"/>
      <c r="Q49" s="1299"/>
      <c r="R49" s="1299"/>
      <c r="S49" s="1299"/>
      <c r="T49" s="1299"/>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c r="GH49" s="27"/>
      <c r="GI49" s="27"/>
      <c r="GJ49" s="27"/>
      <c r="GK49" s="27"/>
      <c r="GL49" s="27"/>
      <c r="GM49" s="27"/>
      <c r="GN49" s="27"/>
      <c r="GO49" s="27"/>
      <c r="GP49" s="27"/>
      <c r="GQ49" s="27"/>
      <c r="GR49" s="27"/>
      <c r="GS49" s="27"/>
      <c r="GT49" s="27"/>
      <c r="GU49" s="27"/>
      <c r="GV49" s="27"/>
      <c r="GW49" s="27"/>
      <c r="GX49" s="27"/>
      <c r="GY49" s="27"/>
      <c r="GZ49" s="27"/>
      <c r="HA49" s="27"/>
      <c r="HB49" s="27"/>
      <c r="HC49" s="27"/>
      <c r="HD49" s="27"/>
      <c r="HE49" s="27"/>
      <c r="HF49" s="27"/>
      <c r="HG49" s="27"/>
      <c r="HH49" s="27"/>
      <c r="HI49" s="27"/>
      <c r="HJ49" s="27"/>
      <c r="HK49" s="27"/>
      <c r="HL49" s="27"/>
      <c r="HM49" s="27"/>
      <c r="HN49" s="27"/>
      <c r="HO49" s="27"/>
      <c r="HP49" s="27"/>
      <c r="HQ49" s="27"/>
      <c r="HR49" s="27"/>
      <c r="HS49" s="27"/>
      <c r="HT49" s="27"/>
      <c r="HU49" s="27"/>
      <c r="HV49" s="27"/>
      <c r="HW49" s="27"/>
      <c r="HX49" s="27"/>
      <c r="HY49" s="27"/>
      <c r="HZ49" s="27"/>
      <c r="IA49" s="27"/>
      <c r="IB49" s="27"/>
      <c r="IC49" s="27"/>
      <c r="ID49" s="27"/>
      <c r="IE49" s="27"/>
      <c r="IF49" s="27"/>
      <c r="IG49" s="27"/>
      <c r="IH49" s="27"/>
      <c r="II49" s="27"/>
      <c r="IJ49" s="27"/>
      <c r="IK49" s="27"/>
      <c r="IL49" s="27"/>
      <c r="IM49" s="27"/>
      <c r="IN49" s="27"/>
      <c r="IO49" s="27"/>
      <c r="IP49" s="27"/>
      <c r="IQ49" s="27"/>
      <c r="IR49" s="27"/>
      <c r="IS49" s="27"/>
      <c r="IT49" s="27"/>
      <c r="IU49" s="27"/>
      <c r="IV49" s="27"/>
    </row>
    <row r="50" spans="1:256" ht="18" customHeight="1" x14ac:dyDescent="0.25">
      <c r="A50" s="1299" t="s">
        <v>994</v>
      </c>
      <c r="B50" s="1299"/>
      <c r="C50" s="1299"/>
      <c r="D50" s="1299"/>
      <c r="E50" s="1299"/>
      <c r="F50" s="1299"/>
      <c r="G50" s="1299"/>
      <c r="H50" s="1299"/>
      <c r="I50" s="1299"/>
      <c r="J50" s="1299"/>
      <c r="K50" s="1299"/>
      <c r="L50" s="1299"/>
      <c r="M50" s="1299"/>
      <c r="N50" s="1299"/>
      <c r="O50" s="1299"/>
      <c r="P50" s="1299"/>
      <c r="Q50" s="1299"/>
      <c r="R50" s="1299"/>
      <c r="S50" s="1299"/>
      <c r="T50" s="1299"/>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c r="DJ50" s="27"/>
      <c r="DK50" s="27"/>
      <c r="DL50" s="27"/>
      <c r="DM50" s="27"/>
      <c r="DN50" s="27"/>
      <c r="DO50" s="27"/>
      <c r="DP50" s="27"/>
      <c r="DQ50" s="27"/>
      <c r="DR50" s="27"/>
      <c r="DS50" s="27"/>
      <c r="DT50" s="27"/>
      <c r="DU50" s="27"/>
      <c r="DV50" s="27"/>
      <c r="DW50" s="27"/>
      <c r="DX50" s="27"/>
      <c r="DY50" s="27"/>
      <c r="DZ50" s="27"/>
      <c r="EA50" s="27"/>
      <c r="EB50" s="27"/>
      <c r="EC50" s="27"/>
      <c r="ED50" s="27"/>
      <c r="EE50" s="27"/>
      <c r="EF50" s="27"/>
      <c r="EG50" s="27"/>
      <c r="EH50" s="27"/>
      <c r="EI50" s="27"/>
      <c r="EJ50" s="27"/>
      <c r="EK50" s="27"/>
      <c r="EL50" s="27"/>
      <c r="EM50" s="27"/>
      <c r="EN50" s="27"/>
      <c r="EO50" s="27"/>
      <c r="EP50" s="27"/>
      <c r="EQ50" s="27"/>
      <c r="ER50" s="27"/>
      <c r="ES50" s="27"/>
      <c r="ET50" s="27"/>
      <c r="EU50" s="27"/>
      <c r="EV50" s="27"/>
      <c r="EW50" s="27"/>
      <c r="EX50" s="27"/>
      <c r="EY50" s="27"/>
      <c r="EZ50" s="27"/>
      <c r="FA50" s="27"/>
      <c r="FB50" s="27"/>
      <c r="FC50" s="27"/>
      <c r="FD50" s="27"/>
      <c r="FE50" s="27"/>
      <c r="FF50" s="27"/>
      <c r="FG50" s="27"/>
      <c r="FH50" s="27"/>
      <c r="FI50" s="27"/>
      <c r="FJ50" s="27"/>
      <c r="FK50" s="27"/>
      <c r="FL50" s="27"/>
      <c r="FM50" s="27"/>
      <c r="FN50" s="27"/>
      <c r="FO50" s="27"/>
      <c r="FP50" s="27"/>
      <c r="FQ50" s="27"/>
      <c r="FR50" s="27"/>
      <c r="FS50" s="27"/>
      <c r="FT50" s="27"/>
      <c r="FU50" s="27"/>
      <c r="FV50" s="27"/>
      <c r="FW50" s="27"/>
      <c r="FX50" s="27"/>
      <c r="FY50" s="27"/>
      <c r="FZ50" s="27"/>
      <c r="GA50" s="27"/>
      <c r="GB50" s="27"/>
      <c r="GC50" s="27"/>
      <c r="GD50" s="27"/>
      <c r="GE50" s="27"/>
      <c r="GF50" s="27"/>
      <c r="GG50" s="27"/>
      <c r="GH50" s="27"/>
      <c r="GI50" s="27"/>
      <c r="GJ50" s="27"/>
      <c r="GK50" s="27"/>
      <c r="GL50" s="27"/>
      <c r="GM50" s="27"/>
      <c r="GN50" s="27"/>
      <c r="GO50" s="27"/>
      <c r="GP50" s="27"/>
      <c r="GQ50" s="27"/>
      <c r="GR50" s="27"/>
      <c r="GS50" s="27"/>
      <c r="GT50" s="27"/>
      <c r="GU50" s="27"/>
      <c r="GV50" s="27"/>
      <c r="GW50" s="27"/>
      <c r="GX50" s="27"/>
      <c r="GY50" s="27"/>
      <c r="GZ50" s="27"/>
      <c r="HA50" s="27"/>
      <c r="HB50" s="27"/>
      <c r="HC50" s="27"/>
      <c r="HD50" s="27"/>
      <c r="HE50" s="27"/>
      <c r="HF50" s="27"/>
      <c r="HG50" s="27"/>
      <c r="HH50" s="27"/>
      <c r="HI50" s="27"/>
      <c r="HJ50" s="27"/>
      <c r="HK50" s="27"/>
      <c r="HL50" s="27"/>
      <c r="HM50" s="27"/>
      <c r="HN50" s="27"/>
      <c r="HO50" s="27"/>
      <c r="HP50" s="27"/>
      <c r="HQ50" s="27"/>
      <c r="HR50" s="27"/>
      <c r="HS50" s="27"/>
      <c r="HT50" s="27"/>
      <c r="HU50" s="27"/>
      <c r="HV50" s="27"/>
      <c r="HW50" s="27"/>
      <c r="HX50" s="27"/>
      <c r="HY50" s="27"/>
      <c r="HZ50" s="27"/>
      <c r="IA50" s="27"/>
      <c r="IB50" s="27"/>
      <c r="IC50" s="27"/>
      <c r="ID50" s="27"/>
      <c r="IE50" s="27"/>
      <c r="IF50" s="27"/>
      <c r="IG50" s="27"/>
      <c r="IH50" s="27"/>
      <c r="II50" s="27"/>
      <c r="IJ50" s="27"/>
      <c r="IK50" s="27"/>
      <c r="IL50" s="27"/>
      <c r="IM50" s="27"/>
      <c r="IN50" s="27"/>
      <c r="IO50" s="27"/>
      <c r="IP50" s="27"/>
      <c r="IQ50" s="27"/>
      <c r="IR50" s="27"/>
      <c r="IS50" s="27"/>
      <c r="IT50" s="27"/>
      <c r="IU50" s="27"/>
      <c r="IV50" s="27"/>
    </row>
    <row r="51" spans="1:256" ht="18" customHeight="1" x14ac:dyDescent="0.25">
      <c r="A51" s="1299" t="s">
        <v>646</v>
      </c>
      <c r="B51" s="1299"/>
      <c r="C51" s="1299"/>
      <c r="D51" s="1299"/>
      <c r="E51" s="1299"/>
      <c r="F51" s="1299"/>
      <c r="G51" s="1299"/>
      <c r="H51" s="1299"/>
      <c r="I51" s="1299"/>
      <c r="J51" s="1299"/>
      <c r="K51" s="1299"/>
      <c r="L51" s="1299"/>
      <c r="M51" s="1299"/>
      <c r="N51" s="1299"/>
      <c r="O51" s="1299"/>
      <c r="P51" s="1299"/>
      <c r="Q51" s="1299"/>
      <c r="R51" s="1299"/>
      <c r="S51" s="1299"/>
      <c r="T51" s="1299"/>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c r="DO51" s="27"/>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c r="GH51" s="27"/>
      <c r="GI51" s="27"/>
      <c r="GJ51" s="27"/>
      <c r="GK51" s="27"/>
      <c r="GL51" s="27"/>
      <c r="GM51" s="27"/>
      <c r="GN51" s="27"/>
      <c r="GO51" s="27"/>
      <c r="GP51" s="27"/>
      <c r="GQ51" s="27"/>
      <c r="GR51" s="27"/>
      <c r="GS51" s="27"/>
      <c r="GT51" s="27"/>
      <c r="GU51" s="27"/>
      <c r="GV51" s="27"/>
      <c r="GW51" s="27"/>
      <c r="GX51" s="27"/>
      <c r="GY51" s="27"/>
      <c r="GZ51" s="27"/>
      <c r="HA51" s="27"/>
      <c r="HB51" s="27"/>
      <c r="HC51" s="27"/>
      <c r="HD51" s="27"/>
      <c r="HE51" s="27"/>
      <c r="HF51" s="27"/>
      <c r="HG51" s="27"/>
      <c r="HH51" s="27"/>
      <c r="HI51" s="27"/>
      <c r="HJ51" s="27"/>
      <c r="HK51" s="27"/>
      <c r="HL51" s="27"/>
      <c r="HM51" s="27"/>
      <c r="HN51" s="27"/>
      <c r="HO51" s="27"/>
      <c r="HP51" s="27"/>
      <c r="HQ51" s="27"/>
      <c r="HR51" s="27"/>
      <c r="HS51" s="27"/>
      <c r="HT51" s="27"/>
      <c r="HU51" s="27"/>
      <c r="HV51" s="27"/>
      <c r="HW51" s="27"/>
      <c r="HX51" s="27"/>
      <c r="HY51" s="27"/>
      <c r="HZ51" s="27"/>
      <c r="IA51" s="27"/>
      <c r="IB51" s="27"/>
      <c r="IC51" s="27"/>
      <c r="ID51" s="27"/>
      <c r="IE51" s="27"/>
      <c r="IF51" s="27"/>
      <c r="IG51" s="27"/>
      <c r="IH51" s="27"/>
      <c r="II51" s="27"/>
      <c r="IJ51" s="27"/>
      <c r="IK51" s="27"/>
      <c r="IL51" s="27"/>
      <c r="IM51" s="27"/>
      <c r="IN51" s="27"/>
      <c r="IO51" s="27"/>
      <c r="IP51" s="27"/>
      <c r="IQ51" s="27"/>
      <c r="IR51" s="27"/>
      <c r="IS51" s="27"/>
      <c r="IT51" s="27"/>
      <c r="IU51" s="27"/>
      <c r="IV51" s="27"/>
    </row>
    <row r="52" spans="1:256" ht="18" customHeight="1" x14ac:dyDescent="0.25">
      <c r="A52" s="1299" t="s">
        <v>1338</v>
      </c>
      <c r="B52" s="1299"/>
      <c r="C52" s="1299"/>
      <c r="D52" s="1299"/>
      <c r="E52" s="1299"/>
      <c r="F52" s="1299"/>
      <c r="G52" s="1299"/>
      <c r="H52" s="1299"/>
      <c r="I52" s="1299"/>
      <c r="J52" s="1299"/>
      <c r="K52" s="1299"/>
      <c r="L52" s="1299"/>
      <c r="M52" s="1299"/>
      <c r="N52" s="1299"/>
      <c r="O52" s="1299"/>
      <c r="P52" s="1299"/>
      <c r="Q52" s="1299"/>
      <c r="R52" s="1299"/>
      <c r="S52" s="1299"/>
      <c r="T52" s="1299"/>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c r="GH52" s="27"/>
      <c r="GI52" s="27"/>
      <c r="GJ52" s="27"/>
      <c r="GK52" s="27"/>
      <c r="GL52" s="27"/>
      <c r="GM52" s="27"/>
      <c r="GN52" s="27"/>
      <c r="GO52" s="27"/>
      <c r="GP52" s="27"/>
      <c r="GQ52" s="27"/>
      <c r="GR52" s="27"/>
      <c r="GS52" s="27"/>
      <c r="GT52" s="27"/>
      <c r="GU52" s="27"/>
      <c r="GV52" s="27"/>
      <c r="GW52" s="27"/>
      <c r="GX52" s="27"/>
      <c r="GY52" s="27"/>
      <c r="GZ52" s="27"/>
      <c r="HA52" s="27"/>
      <c r="HB52" s="27"/>
      <c r="HC52" s="27"/>
      <c r="HD52" s="27"/>
      <c r="HE52" s="27"/>
      <c r="HF52" s="27"/>
      <c r="HG52" s="27"/>
      <c r="HH52" s="27"/>
      <c r="HI52" s="27"/>
      <c r="HJ52" s="27"/>
      <c r="HK52" s="27"/>
      <c r="HL52" s="27"/>
      <c r="HM52" s="27"/>
      <c r="HN52" s="27"/>
      <c r="HO52" s="27"/>
      <c r="HP52" s="27"/>
      <c r="HQ52" s="27"/>
      <c r="HR52" s="27"/>
      <c r="HS52" s="27"/>
      <c r="HT52" s="27"/>
      <c r="HU52" s="27"/>
      <c r="HV52" s="27"/>
      <c r="HW52" s="27"/>
      <c r="HX52" s="27"/>
      <c r="HY52" s="27"/>
      <c r="HZ52" s="27"/>
      <c r="IA52" s="27"/>
      <c r="IB52" s="27"/>
      <c r="IC52" s="27"/>
      <c r="ID52" s="27"/>
      <c r="IE52" s="27"/>
      <c r="IF52" s="27"/>
      <c r="IG52" s="27"/>
      <c r="IH52" s="27"/>
      <c r="II52" s="27"/>
      <c r="IJ52" s="27"/>
      <c r="IK52" s="27"/>
      <c r="IL52" s="27"/>
      <c r="IM52" s="27"/>
      <c r="IN52" s="27"/>
      <c r="IO52" s="27"/>
      <c r="IP52" s="27"/>
      <c r="IQ52" s="27"/>
      <c r="IR52" s="27"/>
      <c r="IS52" s="27"/>
      <c r="IT52" s="27"/>
      <c r="IU52" s="27"/>
      <c r="IV52" s="27"/>
    </row>
    <row r="53" spans="1:256" ht="18" customHeight="1" x14ac:dyDescent="0.25">
      <c r="A53" s="1299" t="s">
        <v>1157</v>
      </c>
      <c r="B53" s="1299"/>
      <c r="C53" s="1299"/>
      <c r="D53" s="1299"/>
      <c r="E53" s="1299"/>
      <c r="F53" s="1299"/>
      <c r="G53" s="1299"/>
      <c r="H53" s="1299"/>
      <c r="I53" s="1299"/>
      <c r="J53" s="1299"/>
      <c r="K53" s="1299"/>
      <c r="L53" s="1299"/>
      <c r="M53" s="1299"/>
      <c r="N53" s="1299"/>
      <c r="O53" s="1299"/>
      <c r="P53" s="1299"/>
      <c r="Q53" s="1299"/>
      <c r="R53" s="1299"/>
      <c r="S53" s="1299"/>
      <c r="T53" s="1299"/>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c r="FJ53" s="27"/>
      <c r="FK53" s="27"/>
      <c r="FL53" s="27"/>
      <c r="FM53" s="27"/>
      <c r="FN53" s="27"/>
      <c r="FO53" s="27"/>
      <c r="FP53" s="27"/>
      <c r="FQ53" s="27"/>
      <c r="FR53" s="27"/>
      <c r="FS53" s="27"/>
      <c r="FT53" s="27"/>
      <c r="FU53" s="27"/>
      <c r="FV53" s="27"/>
      <c r="FW53" s="27"/>
      <c r="FX53" s="27"/>
      <c r="FY53" s="27"/>
      <c r="FZ53" s="27"/>
      <c r="GA53" s="27"/>
      <c r="GB53" s="27"/>
      <c r="GC53" s="27"/>
      <c r="GD53" s="27"/>
      <c r="GE53" s="27"/>
      <c r="GF53" s="27"/>
      <c r="GG53" s="27"/>
      <c r="GH53" s="27"/>
      <c r="GI53" s="27"/>
      <c r="GJ53" s="27"/>
      <c r="GK53" s="27"/>
      <c r="GL53" s="27"/>
      <c r="GM53" s="27"/>
      <c r="GN53" s="27"/>
      <c r="GO53" s="27"/>
      <c r="GP53" s="27"/>
      <c r="GQ53" s="27"/>
      <c r="GR53" s="27"/>
      <c r="GS53" s="27"/>
      <c r="GT53" s="27"/>
      <c r="GU53" s="27"/>
      <c r="GV53" s="27"/>
      <c r="GW53" s="27"/>
      <c r="GX53" s="27"/>
      <c r="GY53" s="27"/>
      <c r="GZ53" s="27"/>
      <c r="HA53" s="27"/>
      <c r="HB53" s="27"/>
      <c r="HC53" s="27"/>
      <c r="HD53" s="27"/>
      <c r="HE53" s="27"/>
      <c r="HF53" s="27"/>
      <c r="HG53" s="27"/>
      <c r="HH53" s="27"/>
      <c r="HI53" s="27"/>
      <c r="HJ53" s="27"/>
      <c r="HK53" s="27"/>
      <c r="HL53" s="27"/>
      <c r="HM53" s="27"/>
      <c r="HN53" s="27"/>
      <c r="HO53" s="27"/>
      <c r="HP53" s="27"/>
      <c r="HQ53" s="27"/>
      <c r="HR53" s="27"/>
      <c r="HS53" s="27"/>
      <c r="HT53" s="27"/>
      <c r="HU53" s="27"/>
      <c r="HV53" s="27"/>
      <c r="HW53" s="27"/>
      <c r="HX53" s="27"/>
      <c r="HY53" s="27"/>
      <c r="HZ53" s="27"/>
      <c r="IA53" s="27"/>
      <c r="IB53" s="27"/>
      <c r="IC53" s="27"/>
      <c r="ID53" s="27"/>
      <c r="IE53" s="27"/>
      <c r="IF53" s="27"/>
      <c r="IG53" s="27"/>
      <c r="IH53" s="27"/>
      <c r="II53" s="27"/>
      <c r="IJ53" s="27"/>
      <c r="IK53" s="27"/>
      <c r="IL53" s="27"/>
      <c r="IM53" s="27"/>
      <c r="IN53" s="27"/>
      <c r="IO53" s="27"/>
      <c r="IP53" s="27"/>
      <c r="IQ53" s="27"/>
      <c r="IR53" s="27"/>
      <c r="IS53" s="27"/>
      <c r="IT53" s="27"/>
      <c r="IU53" s="27"/>
      <c r="IV53" s="27"/>
    </row>
    <row r="54" spans="1:256" ht="18" customHeight="1" x14ac:dyDescent="0.25">
      <c r="A54" s="1299" t="s">
        <v>679</v>
      </c>
      <c r="B54" s="1299"/>
      <c r="C54" s="1299"/>
      <c r="D54" s="1299"/>
      <c r="E54" s="1299"/>
      <c r="F54" s="1299"/>
      <c r="G54" s="1299"/>
      <c r="H54" s="1299"/>
      <c r="I54" s="1299"/>
      <c r="J54" s="1299"/>
      <c r="K54" s="1299"/>
      <c r="L54" s="1299"/>
      <c r="M54" s="1299"/>
      <c r="N54" s="1299"/>
      <c r="O54" s="1299"/>
      <c r="P54" s="1299"/>
      <c r="Q54" s="1299"/>
      <c r="R54" s="1299"/>
      <c r="S54" s="1299"/>
      <c r="T54" s="1299"/>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c r="GH54" s="27"/>
      <c r="GI54" s="27"/>
      <c r="GJ54" s="27"/>
      <c r="GK54" s="27"/>
      <c r="GL54" s="27"/>
      <c r="GM54" s="27"/>
      <c r="GN54" s="27"/>
      <c r="GO54" s="27"/>
      <c r="GP54" s="27"/>
      <c r="GQ54" s="27"/>
      <c r="GR54" s="27"/>
      <c r="GS54" s="27"/>
      <c r="GT54" s="27"/>
      <c r="GU54" s="27"/>
      <c r="GV54" s="27"/>
      <c r="GW54" s="27"/>
      <c r="GX54" s="27"/>
      <c r="GY54" s="27"/>
      <c r="GZ54" s="27"/>
      <c r="HA54" s="27"/>
      <c r="HB54" s="27"/>
      <c r="HC54" s="27"/>
      <c r="HD54" s="27"/>
      <c r="HE54" s="27"/>
      <c r="HF54" s="27"/>
      <c r="HG54" s="27"/>
      <c r="HH54" s="27"/>
      <c r="HI54" s="27"/>
      <c r="HJ54" s="27"/>
      <c r="HK54" s="27"/>
      <c r="HL54" s="27"/>
      <c r="HM54" s="27"/>
      <c r="HN54" s="27"/>
      <c r="HO54" s="27"/>
      <c r="HP54" s="27"/>
      <c r="HQ54" s="27"/>
      <c r="HR54" s="27"/>
      <c r="HS54" s="27"/>
      <c r="HT54" s="27"/>
      <c r="HU54" s="27"/>
      <c r="HV54" s="27"/>
      <c r="HW54" s="27"/>
      <c r="HX54" s="27"/>
      <c r="HY54" s="27"/>
      <c r="HZ54" s="27"/>
      <c r="IA54" s="27"/>
      <c r="IB54" s="27"/>
      <c r="IC54" s="27"/>
      <c r="ID54" s="27"/>
      <c r="IE54" s="27"/>
      <c r="IF54" s="27"/>
      <c r="IG54" s="27"/>
      <c r="IH54" s="27"/>
      <c r="II54" s="27"/>
      <c r="IJ54" s="27"/>
      <c r="IK54" s="27"/>
      <c r="IL54" s="27"/>
      <c r="IM54" s="27"/>
      <c r="IN54" s="27"/>
      <c r="IO54" s="27"/>
      <c r="IP54" s="27"/>
      <c r="IQ54" s="27"/>
      <c r="IR54" s="27"/>
      <c r="IS54" s="27"/>
      <c r="IT54" s="27"/>
      <c r="IU54" s="27"/>
      <c r="IV54" s="27"/>
    </row>
    <row r="55" spans="1:256" ht="18" customHeight="1" x14ac:dyDescent="0.25">
      <c r="A55" s="1299" t="s">
        <v>727</v>
      </c>
      <c r="B55" s="1299"/>
      <c r="C55" s="1299"/>
      <c r="D55" s="1299"/>
      <c r="E55" s="1299"/>
      <c r="F55" s="1299"/>
      <c r="G55" s="1299"/>
      <c r="H55" s="1299"/>
      <c r="I55" s="1299"/>
      <c r="J55" s="1299"/>
      <c r="K55" s="1299"/>
      <c r="L55" s="1299"/>
      <c r="M55" s="1299"/>
      <c r="N55" s="1299"/>
      <c r="O55" s="1299"/>
      <c r="P55" s="1299"/>
      <c r="Q55" s="1299"/>
      <c r="R55" s="1299"/>
      <c r="S55" s="1299"/>
      <c r="T55" s="1299"/>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c r="FJ55" s="27"/>
      <c r="FK55" s="27"/>
      <c r="FL55" s="27"/>
      <c r="FM55" s="27"/>
      <c r="FN55" s="27"/>
      <c r="FO55" s="27"/>
      <c r="FP55" s="27"/>
      <c r="FQ55" s="27"/>
      <c r="FR55" s="27"/>
      <c r="FS55" s="27"/>
      <c r="FT55" s="27"/>
      <c r="FU55" s="27"/>
      <c r="FV55" s="27"/>
      <c r="FW55" s="27"/>
      <c r="FX55" s="27"/>
      <c r="FY55" s="27"/>
      <c r="FZ55" s="27"/>
      <c r="GA55" s="27"/>
      <c r="GB55" s="27"/>
      <c r="GC55" s="27"/>
      <c r="GD55" s="27"/>
      <c r="GE55" s="27"/>
      <c r="GF55" s="27"/>
      <c r="GG55" s="27"/>
      <c r="GH55" s="27"/>
      <c r="GI55" s="27"/>
      <c r="GJ55" s="27"/>
      <c r="GK55" s="27"/>
      <c r="GL55" s="27"/>
      <c r="GM55" s="27"/>
      <c r="GN55" s="27"/>
      <c r="GO55" s="27"/>
      <c r="GP55" s="27"/>
      <c r="GQ55" s="27"/>
      <c r="GR55" s="27"/>
      <c r="GS55" s="27"/>
      <c r="GT55" s="27"/>
      <c r="GU55" s="27"/>
      <c r="GV55" s="27"/>
      <c r="GW55" s="27"/>
      <c r="GX55" s="27"/>
      <c r="GY55" s="27"/>
      <c r="GZ55" s="27"/>
      <c r="HA55" s="27"/>
      <c r="HB55" s="27"/>
      <c r="HC55" s="27"/>
      <c r="HD55" s="27"/>
      <c r="HE55" s="27"/>
      <c r="HF55" s="27"/>
      <c r="HG55" s="27"/>
      <c r="HH55" s="27"/>
      <c r="HI55" s="27"/>
      <c r="HJ55" s="27"/>
      <c r="HK55" s="27"/>
      <c r="HL55" s="27"/>
      <c r="HM55" s="27"/>
      <c r="HN55" s="27"/>
      <c r="HO55" s="27"/>
      <c r="HP55" s="27"/>
      <c r="HQ55" s="27"/>
      <c r="HR55" s="27"/>
      <c r="HS55" s="27"/>
      <c r="HT55" s="27"/>
      <c r="HU55" s="27"/>
      <c r="HV55" s="27"/>
      <c r="HW55" s="27"/>
      <c r="HX55" s="27"/>
      <c r="HY55" s="27"/>
      <c r="HZ55" s="27"/>
      <c r="IA55" s="27"/>
      <c r="IB55" s="27"/>
      <c r="IC55" s="27"/>
      <c r="ID55" s="27"/>
      <c r="IE55" s="27"/>
      <c r="IF55" s="27"/>
      <c r="IG55" s="27"/>
      <c r="IH55" s="27"/>
      <c r="II55" s="27"/>
      <c r="IJ55" s="27"/>
      <c r="IK55" s="27"/>
      <c r="IL55" s="27"/>
      <c r="IM55" s="27"/>
      <c r="IN55" s="27"/>
      <c r="IO55" s="27"/>
      <c r="IP55" s="27"/>
      <c r="IQ55" s="27"/>
      <c r="IR55" s="27"/>
      <c r="IS55" s="27"/>
      <c r="IT55" s="27"/>
      <c r="IU55" s="27"/>
      <c r="IV55" s="27"/>
    </row>
    <row r="56" spans="1:256" ht="18" customHeight="1" x14ac:dyDescent="0.25">
      <c r="A56" s="1237" t="s">
        <v>1069</v>
      </c>
      <c r="B56" s="1237"/>
      <c r="C56" s="1237"/>
      <c r="D56" s="1237"/>
      <c r="E56" s="1237"/>
      <c r="F56" s="1237"/>
      <c r="G56" s="1237"/>
      <c r="H56" s="1237"/>
      <c r="I56" s="1237"/>
      <c r="J56" s="1237"/>
      <c r="K56" s="1237"/>
      <c r="L56" s="1237"/>
      <c r="M56" s="1237"/>
      <c r="N56" s="1237"/>
      <c r="O56" s="1237"/>
      <c r="P56" s="1237"/>
      <c r="Q56" s="1237"/>
      <c r="R56" s="1237"/>
      <c r="S56" s="1237"/>
      <c r="T56" s="1237"/>
      <c r="U56" s="402"/>
      <c r="V56" s="402"/>
      <c r="W56" s="402"/>
      <c r="X56" s="402"/>
      <c r="Y56" s="402"/>
      <c r="Z56" s="402"/>
      <c r="AA56" s="402"/>
      <c r="AB56" s="402"/>
      <c r="AC56" s="402"/>
      <c r="AD56" s="402"/>
      <c r="AE56" s="402"/>
      <c r="AF56" s="402"/>
      <c r="AG56" s="402"/>
      <c r="AH56" s="402"/>
      <c r="AI56" s="402"/>
      <c r="AJ56" s="402"/>
      <c r="AK56" s="402"/>
      <c r="AL56" s="402"/>
      <c r="AM56" s="402"/>
      <c r="AN56" s="402"/>
      <c r="AO56" s="402"/>
      <c r="AP56" s="402"/>
      <c r="AQ56" s="402"/>
      <c r="AR56" s="402"/>
      <c r="AS56" s="402"/>
      <c r="AT56" s="402"/>
      <c r="AU56" s="402"/>
      <c r="AV56" s="402"/>
      <c r="AW56" s="402"/>
      <c r="AX56" s="402"/>
      <c r="AY56" s="402"/>
      <c r="AZ56" s="402"/>
      <c r="BA56" s="402"/>
      <c r="BB56" s="402"/>
      <c r="BC56" s="402"/>
      <c r="BD56" s="402"/>
      <c r="BE56" s="402"/>
      <c r="BF56" s="402"/>
      <c r="BG56" s="402"/>
      <c r="BH56" s="402"/>
      <c r="BI56" s="402"/>
      <c r="BJ56" s="402"/>
      <c r="BK56" s="402"/>
      <c r="BL56" s="402"/>
      <c r="BM56" s="402"/>
      <c r="BN56" s="402"/>
      <c r="BO56" s="402"/>
      <c r="BP56" s="402"/>
      <c r="BQ56" s="402"/>
      <c r="BR56" s="402"/>
      <c r="BS56" s="402"/>
      <c r="BT56" s="402"/>
      <c r="BU56" s="402"/>
      <c r="BV56" s="402"/>
      <c r="BW56" s="402"/>
      <c r="BX56" s="402"/>
      <c r="BY56" s="402"/>
      <c r="BZ56" s="402"/>
      <c r="CA56" s="402"/>
      <c r="CB56" s="402"/>
      <c r="CC56" s="402"/>
      <c r="CD56" s="402"/>
      <c r="CE56" s="402"/>
      <c r="CF56" s="402"/>
      <c r="CG56" s="402"/>
      <c r="CH56" s="402"/>
      <c r="CI56" s="402"/>
      <c r="CJ56" s="402"/>
      <c r="CK56" s="402"/>
      <c r="CL56" s="402"/>
      <c r="CM56" s="402"/>
      <c r="CN56" s="402"/>
      <c r="CO56" s="402"/>
      <c r="CP56" s="402"/>
      <c r="CQ56" s="402"/>
      <c r="CR56" s="402"/>
      <c r="CS56" s="402"/>
      <c r="CT56" s="402"/>
      <c r="CU56" s="402"/>
      <c r="CV56" s="402"/>
      <c r="CW56" s="402"/>
      <c r="CX56" s="402"/>
      <c r="CY56" s="402"/>
      <c r="CZ56" s="402"/>
      <c r="DA56" s="402"/>
      <c r="DB56" s="402"/>
      <c r="DC56" s="402"/>
      <c r="DD56" s="402"/>
      <c r="DE56" s="402"/>
      <c r="DF56" s="402"/>
      <c r="DG56" s="402"/>
      <c r="DH56" s="402"/>
      <c r="DI56" s="402"/>
      <c r="DJ56" s="402"/>
      <c r="DK56" s="402"/>
      <c r="DL56" s="402"/>
      <c r="DM56" s="402"/>
      <c r="DN56" s="402"/>
      <c r="DO56" s="402"/>
      <c r="DP56" s="402"/>
      <c r="DQ56" s="402"/>
      <c r="DR56" s="402"/>
      <c r="DS56" s="402"/>
      <c r="DT56" s="402"/>
      <c r="DU56" s="402"/>
      <c r="DV56" s="402"/>
      <c r="DW56" s="402"/>
      <c r="DX56" s="402"/>
      <c r="DY56" s="402"/>
      <c r="DZ56" s="402"/>
      <c r="EA56" s="402"/>
      <c r="EB56" s="402"/>
      <c r="EC56" s="402"/>
      <c r="ED56" s="402"/>
      <c r="EE56" s="402"/>
      <c r="EF56" s="402"/>
      <c r="EG56" s="402"/>
      <c r="EH56" s="402"/>
      <c r="EI56" s="402"/>
      <c r="EJ56" s="402"/>
      <c r="EK56" s="402"/>
      <c r="EL56" s="402"/>
      <c r="EM56" s="402"/>
      <c r="EN56" s="402"/>
      <c r="EO56" s="402"/>
      <c r="EP56" s="402"/>
      <c r="EQ56" s="402"/>
      <c r="ER56" s="402"/>
      <c r="ES56" s="402"/>
      <c r="ET56" s="402"/>
      <c r="EU56" s="402"/>
      <c r="EV56" s="402"/>
      <c r="EW56" s="402"/>
      <c r="EX56" s="402"/>
      <c r="EY56" s="402"/>
      <c r="EZ56" s="402"/>
      <c r="FA56" s="402"/>
      <c r="FB56" s="402"/>
      <c r="FC56" s="402"/>
      <c r="FD56" s="402"/>
      <c r="FE56" s="402"/>
      <c r="FF56" s="402"/>
      <c r="FG56" s="402"/>
      <c r="FH56" s="402"/>
      <c r="FI56" s="402"/>
      <c r="FJ56" s="402"/>
      <c r="FK56" s="402"/>
      <c r="FL56" s="402"/>
      <c r="FM56" s="402"/>
      <c r="FN56" s="402"/>
      <c r="FO56" s="402"/>
      <c r="FP56" s="402"/>
      <c r="FQ56" s="402"/>
      <c r="FR56" s="402"/>
      <c r="FS56" s="402"/>
      <c r="FT56" s="402"/>
      <c r="FU56" s="402"/>
      <c r="FV56" s="402"/>
      <c r="FW56" s="402"/>
      <c r="FX56" s="402"/>
      <c r="FY56" s="402"/>
      <c r="FZ56" s="402"/>
      <c r="GA56" s="402"/>
      <c r="GB56" s="402"/>
      <c r="GC56" s="402"/>
      <c r="GD56" s="402"/>
      <c r="GE56" s="402"/>
      <c r="GF56" s="402"/>
      <c r="GG56" s="402"/>
      <c r="GH56" s="402"/>
      <c r="GI56" s="402"/>
      <c r="GJ56" s="402"/>
      <c r="GK56" s="402"/>
      <c r="GL56" s="402"/>
      <c r="GM56" s="402"/>
      <c r="GN56" s="402"/>
      <c r="GO56" s="402"/>
      <c r="GP56" s="402"/>
      <c r="GQ56" s="402"/>
      <c r="GR56" s="402"/>
      <c r="GS56" s="402"/>
      <c r="GT56" s="402"/>
      <c r="GU56" s="402"/>
      <c r="GV56" s="402"/>
      <c r="GW56" s="402"/>
      <c r="GX56" s="402"/>
      <c r="GY56" s="402"/>
      <c r="GZ56" s="402"/>
      <c r="HA56" s="402"/>
      <c r="HB56" s="402"/>
      <c r="HC56" s="402"/>
      <c r="HD56" s="402"/>
      <c r="HE56" s="402"/>
      <c r="HF56" s="402"/>
      <c r="HG56" s="402"/>
      <c r="HH56" s="402"/>
      <c r="HI56" s="402"/>
      <c r="HJ56" s="402"/>
      <c r="HK56" s="402"/>
      <c r="HL56" s="402"/>
      <c r="HM56" s="402"/>
      <c r="HN56" s="402"/>
      <c r="HO56" s="402"/>
      <c r="HP56" s="402"/>
      <c r="HQ56" s="402"/>
      <c r="HR56" s="402"/>
      <c r="HS56" s="402"/>
      <c r="HT56" s="402"/>
      <c r="HU56" s="402"/>
      <c r="HV56" s="402"/>
      <c r="HW56" s="402"/>
      <c r="HX56" s="402"/>
      <c r="HY56" s="402"/>
      <c r="HZ56" s="402"/>
      <c r="IA56" s="402"/>
      <c r="IB56" s="402"/>
      <c r="IC56" s="402"/>
      <c r="ID56" s="402"/>
      <c r="IE56" s="402"/>
      <c r="IF56" s="402"/>
      <c r="IG56" s="402"/>
      <c r="IH56" s="402"/>
      <c r="II56" s="402"/>
      <c r="IJ56" s="402"/>
      <c r="IK56" s="402"/>
      <c r="IL56" s="402"/>
      <c r="IM56" s="402"/>
      <c r="IN56" s="402"/>
      <c r="IO56" s="402"/>
      <c r="IP56" s="402"/>
      <c r="IQ56" s="402"/>
      <c r="IR56" s="402"/>
      <c r="IS56" s="402"/>
      <c r="IT56" s="402"/>
      <c r="IU56" s="402"/>
      <c r="IV56" s="402"/>
    </row>
    <row r="57" spans="1:256" ht="18" customHeight="1" x14ac:dyDescent="0.25">
      <c r="A57" s="1237" t="s">
        <v>1429</v>
      </c>
      <c r="B57" s="1237"/>
      <c r="C57" s="1237"/>
      <c r="D57" s="1237"/>
      <c r="E57" s="1237"/>
      <c r="F57" s="1237"/>
      <c r="G57" s="1237"/>
      <c r="H57" s="1237"/>
      <c r="I57" s="1237"/>
      <c r="J57" s="1237"/>
      <c r="K57" s="1237"/>
      <c r="L57" s="1237"/>
      <c r="M57" s="1237"/>
      <c r="N57" s="1237"/>
      <c r="O57" s="1237"/>
      <c r="P57" s="1237"/>
      <c r="Q57" s="1237"/>
      <c r="R57" s="1237"/>
      <c r="S57" s="1237"/>
      <c r="T57" s="1237"/>
      <c r="U57" s="402"/>
      <c r="V57" s="402"/>
      <c r="W57" s="402"/>
      <c r="X57" s="402"/>
      <c r="Y57" s="402"/>
      <c r="Z57" s="402"/>
      <c r="AA57" s="402"/>
      <c r="AB57" s="402"/>
      <c r="AC57" s="402"/>
      <c r="AD57" s="402"/>
      <c r="AE57" s="402"/>
      <c r="AF57" s="402"/>
      <c r="AG57" s="402"/>
      <c r="AH57" s="402"/>
      <c r="AI57" s="402"/>
      <c r="AJ57" s="402"/>
      <c r="AK57" s="402"/>
      <c r="AL57" s="402"/>
      <c r="AM57" s="402"/>
      <c r="AN57" s="402"/>
      <c r="AO57" s="402"/>
      <c r="AP57" s="402"/>
      <c r="AQ57" s="402"/>
      <c r="AR57" s="402"/>
      <c r="AS57" s="402"/>
      <c r="AT57" s="402"/>
      <c r="AU57" s="402"/>
      <c r="AV57" s="402"/>
      <c r="AW57" s="402"/>
      <c r="AX57" s="402"/>
      <c r="AY57" s="402"/>
      <c r="AZ57" s="402"/>
      <c r="BA57" s="402"/>
      <c r="BB57" s="402"/>
      <c r="BC57" s="402"/>
      <c r="BD57" s="402"/>
      <c r="BE57" s="402"/>
      <c r="BF57" s="402"/>
      <c r="BG57" s="402"/>
      <c r="BH57" s="402"/>
      <c r="BI57" s="402"/>
      <c r="BJ57" s="402"/>
      <c r="BK57" s="402"/>
      <c r="BL57" s="402"/>
      <c r="BM57" s="402"/>
      <c r="BN57" s="402"/>
      <c r="BO57" s="402"/>
      <c r="BP57" s="402"/>
      <c r="BQ57" s="402"/>
      <c r="BR57" s="402"/>
      <c r="BS57" s="402"/>
      <c r="BT57" s="402"/>
      <c r="BU57" s="402"/>
      <c r="BV57" s="402"/>
      <c r="BW57" s="402"/>
      <c r="BX57" s="402"/>
      <c r="BY57" s="402"/>
      <c r="BZ57" s="402"/>
      <c r="CA57" s="402"/>
      <c r="CB57" s="402"/>
      <c r="CC57" s="402"/>
      <c r="CD57" s="402"/>
      <c r="CE57" s="402"/>
      <c r="CF57" s="402"/>
      <c r="CG57" s="402"/>
      <c r="CH57" s="402"/>
      <c r="CI57" s="402"/>
      <c r="CJ57" s="402"/>
      <c r="CK57" s="402"/>
      <c r="CL57" s="402"/>
      <c r="CM57" s="402"/>
      <c r="CN57" s="402"/>
      <c r="CO57" s="402"/>
      <c r="CP57" s="402"/>
      <c r="CQ57" s="402"/>
      <c r="CR57" s="402"/>
      <c r="CS57" s="402"/>
      <c r="CT57" s="402"/>
      <c r="CU57" s="402"/>
      <c r="CV57" s="402"/>
      <c r="CW57" s="402"/>
      <c r="CX57" s="402"/>
      <c r="CY57" s="402"/>
      <c r="CZ57" s="402"/>
      <c r="DA57" s="402"/>
      <c r="DB57" s="402"/>
      <c r="DC57" s="402"/>
      <c r="DD57" s="402"/>
      <c r="DE57" s="402"/>
      <c r="DF57" s="402"/>
      <c r="DG57" s="402"/>
      <c r="DH57" s="402"/>
      <c r="DI57" s="402"/>
      <c r="DJ57" s="402"/>
      <c r="DK57" s="402"/>
      <c r="DL57" s="402"/>
      <c r="DM57" s="402"/>
      <c r="DN57" s="402"/>
      <c r="DO57" s="402"/>
      <c r="DP57" s="402"/>
      <c r="DQ57" s="402"/>
      <c r="DR57" s="402"/>
      <c r="DS57" s="402"/>
      <c r="DT57" s="402"/>
      <c r="DU57" s="402"/>
      <c r="DV57" s="402"/>
      <c r="DW57" s="402"/>
      <c r="DX57" s="402"/>
      <c r="DY57" s="402"/>
      <c r="DZ57" s="402"/>
      <c r="EA57" s="402"/>
      <c r="EB57" s="402"/>
      <c r="EC57" s="402"/>
      <c r="ED57" s="402"/>
      <c r="EE57" s="402"/>
      <c r="EF57" s="402"/>
      <c r="EG57" s="402"/>
      <c r="EH57" s="402"/>
      <c r="EI57" s="402"/>
      <c r="EJ57" s="402"/>
      <c r="EK57" s="402"/>
      <c r="EL57" s="402"/>
      <c r="EM57" s="402"/>
      <c r="EN57" s="402"/>
      <c r="EO57" s="402"/>
      <c r="EP57" s="402"/>
      <c r="EQ57" s="402"/>
      <c r="ER57" s="402"/>
      <c r="ES57" s="402"/>
      <c r="ET57" s="402"/>
      <c r="EU57" s="402"/>
      <c r="EV57" s="402"/>
      <c r="EW57" s="402"/>
      <c r="EX57" s="402"/>
      <c r="EY57" s="402"/>
      <c r="EZ57" s="402"/>
      <c r="FA57" s="402"/>
      <c r="FB57" s="402"/>
      <c r="FC57" s="402"/>
      <c r="FD57" s="402"/>
      <c r="FE57" s="402"/>
      <c r="FF57" s="402"/>
      <c r="FG57" s="402"/>
      <c r="FH57" s="402"/>
      <c r="FI57" s="402"/>
      <c r="FJ57" s="402"/>
      <c r="FK57" s="402"/>
      <c r="FL57" s="402"/>
      <c r="FM57" s="402"/>
      <c r="FN57" s="402"/>
      <c r="FO57" s="402"/>
      <c r="FP57" s="402"/>
      <c r="FQ57" s="402"/>
      <c r="FR57" s="402"/>
      <c r="FS57" s="402"/>
      <c r="FT57" s="402"/>
      <c r="FU57" s="402"/>
      <c r="FV57" s="402"/>
      <c r="FW57" s="402"/>
      <c r="FX57" s="402"/>
      <c r="FY57" s="402"/>
      <c r="FZ57" s="402"/>
      <c r="GA57" s="402"/>
      <c r="GB57" s="402"/>
      <c r="GC57" s="402"/>
      <c r="GD57" s="402"/>
      <c r="GE57" s="402"/>
      <c r="GF57" s="402"/>
      <c r="GG57" s="402"/>
      <c r="GH57" s="402"/>
      <c r="GI57" s="402"/>
      <c r="GJ57" s="402"/>
      <c r="GK57" s="402"/>
      <c r="GL57" s="402"/>
      <c r="GM57" s="402"/>
      <c r="GN57" s="402"/>
      <c r="GO57" s="402"/>
      <c r="GP57" s="402"/>
      <c r="GQ57" s="402"/>
      <c r="GR57" s="402"/>
      <c r="GS57" s="402"/>
      <c r="GT57" s="402"/>
      <c r="GU57" s="402"/>
      <c r="GV57" s="402"/>
      <c r="GW57" s="402"/>
      <c r="GX57" s="402"/>
      <c r="GY57" s="402"/>
      <c r="GZ57" s="402"/>
      <c r="HA57" s="402"/>
      <c r="HB57" s="402"/>
      <c r="HC57" s="402"/>
      <c r="HD57" s="402"/>
      <c r="HE57" s="402"/>
      <c r="HF57" s="402"/>
      <c r="HG57" s="402"/>
      <c r="HH57" s="402"/>
      <c r="HI57" s="402"/>
      <c r="HJ57" s="402"/>
      <c r="HK57" s="402"/>
      <c r="HL57" s="402"/>
      <c r="HM57" s="402"/>
      <c r="HN57" s="402"/>
      <c r="HO57" s="402"/>
      <c r="HP57" s="402"/>
      <c r="HQ57" s="402"/>
      <c r="HR57" s="402"/>
      <c r="HS57" s="402"/>
      <c r="HT57" s="402"/>
      <c r="HU57" s="402"/>
      <c r="HV57" s="402"/>
      <c r="HW57" s="402"/>
      <c r="HX57" s="402"/>
      <c r="HY57" s="402"/>
      <c r="HZ57" s="402"/>
      <c r="IA57" s="402"/>
      <c r="IB57" s="402"/>
      <c r="IC57" s="402"/>
      <c r="ID57" s="402"/>
      <c r="IE57" s="402"/>
      <c r="IF57" s="402"/>
      <c r="IG57" s="402"/>
      <c r="IH57" s="402"/>
      <c r="II57" s="402"/>
      <c r="IJ57" s="402"/>
      <c r="IK57" s="402"/>
      <c r="IL57" s="402"/>
      <c r="IM57" s="402"/>
      <c r="IN57" s="402"/>
      <c r="IO57" s="402"/>
      <c r="IP57" s="402"/>
      <c r="IQ57" s="402"/>
      <c r="IR57" s="402"/>
      <c r="IS57" s="402"/>
      <c r="IT57" s="402"/>
      <c r="IU57" s="402"/>
      <c r="IV57" s="402"/>
    </row>
    <row r="58" spans="1:256" ht="18" customHeight="1" x14ac:dyDescent="0.25">
      <c r="A58" s="1237" t="s">
        <v>216</v>
      </c>
      <c r="B58" s="1237"/>
      <c r="C58" s="1237"/>
      <c r="D58" s="1237"/>
      <c r="E58" s="1237"/>
      <c r="F58" s="1237"/>
      <c r="G58" s="1237"/>
      <c r="H58" s="1237"/>
      <c r="I58" s="1237"/>
      <c r="J58" s="1237"/>
      <c r="K58" s="1237"/>
      <c r="L58" s="1237"/>
      <c r="M58" s="1237"/>
      <c r="N58" s="1237"/>
      <c r="O58" s="1237"/>
      <c r="P58" s="1237"/>
      <c r="Q58" s="1237"/>
      <c r="R58" s="1237"/>
      <c r="S58" s="1237"/>
      <c r="T58" s="1237"/>
      <c r="U58" s="402"/>
      <c r="V58" s="402"/>
      <c r="W58" s="402"/>
      <c r="X58" s="402"/>
      <c r="Y58" s="402"/>
      <c r="Z58" s="402"/>
      <c r="AA58" s="402"/>
      <c r="AB58" s="402"/>
      <c r="AC58" s="402"/>
      <c r="AD58" s="402"/>
      <c r="AE58" s="402"/>
      <c r="AF58" s="402"/>
      <c r="AG58" s="402"/>
      <c r="AH58" s="402"/>
      <c r="AI58" s="402"/>
      <c r="AJ58" s="402"/>
      <c r="AK58" s="402"/>
      <c r="AL58" s="402"/>
      <c r="AM58" s="402"/>
      <c r="AN58" s="402"/>
      <c r="AO58" s="402"/>
      <c r="AP58" s="402"/>
      <c r="AQ58" s="402"/>
      <c r="AR58" s="402"/>
      <c r="AS58" s="402"/>
      <c r="AT58" s="402"/>
      <c r="AU58" s="402"/>
      <c r="AV58" s="402"/>
      <c r="AW58" s="402"/>
      <c r="AX58" s="402"/>
      <c r="AY58" s="402"/>
      <c r="AZ58" s="402"/>
      <c r="BA58" s="402"/>
      <c r="BB58" s="402"/>
      <c r="BC58" s="402"/>
      <c r="BD58" s="402"/>
      <c r="BE58" s="402"/>
      <c r="BF58" s="402"/>
      <c r="BG58" s="402"/>
      <c r="BH58" s="402"/>
      <c r="BI58" s="402"/>
      <c r="BJ58" s="402"/>
      <c r="BK58" s="402"/>
      <c r="BL58" s="402"/>
      <c r="BM58" s="402"/>
      <c r="BN58" s="402"/>
      <c r="BO58" s="402"/>
      <c r="BP58" s="402"/>
      <c r="BQ58" s="402"/>
      <c r="BR58" s="402"/>
      <c r="BS58" s="402"/>
      <c r="BT58" s="402"/>
      <c r="BU58" s="402"/>
      <c r="BV58" s="402"/>
      <c r="BW58" s="402"/>
      <c r="BX58" s="402"/>
      <c r="BY58" s="402"/>
      <c r="BZ58" s="402"/>
      <c r="CA58" s="402"/>
      <c r="CB58" s="402"/>
      <c r="CC58" s="402"/>
      <c r="CD58" s="402"/>
      <c r="CE58" s="402"/>
      <c r="CF58" s="402"/>
      <c r="CG58" s="402"/>
      <c r="CH58" s="402"/>
      <c r="CI58" s="402"/>
      <c r="CJ58" s="402"/>
      <c r="CK58" s="402"/>
      <c r="CL58" s="402"/>
      <c r="CM58" s="402"/>
      <c r="CN58" s="402"/>
      <c r="CO58" s="402"/>
      <c r="CP58" s="402"/>
      <c r="CQ58" s="402"/>
      <c r="CR58" s="402"/>
      <c r="CS58" s="402"/>
      <c r="CT58" s="402"/>
      <c r="CU58" s="402"/>
      <c r="CV58" s="402"/>
      <c r="CW58" s="402"/>
      <c r="CX58" s="402"/>
      <c r="CY58" s="402"/>
      <c r="CZ58" s="402"/>
      <c r="DA58" s="402"/>
      <c r="DB58" s="402"/>
      <c r="DC58" s="402"/>
      <c r="DD58" s="402"/>
      <c r="DE58" s="402"/>
      <c r="DF58" s="402"/>
      <c r="DG58" s="402"/>
      <c r="DH58" s="402"/>
      <c r="DI58" s="402"/>
      <c r="DJ58" s="402"/>
      <c r="DK58" s="402"/>
      <c r="DL58" s="402"/>
      <c r="DM58" s="402"/>
      <c r="DN58" s="402"/>
      <c r="DO58" s="402"/>
      <c r="DP58" s="402"/>
      <c r="DQ58" s="402"/>
      <c r="DR58" s="402"/>
      <c r="DS58" s="402"/>
      <c r="DT58" s="402"/>
      <c r="DU58" s="402"/>
      <c r="DV58" s="402"/>
      <c r="DW58" s="402"/>
      <c r="DX58" s="402"/>
      <c r="DY58" s="402"/>
      <c r="DZ58" s="402"/>
      <c r="EA58" s="402"/>
      <c r="EB58" s="402"/>
      <c r="EC58" s="402"/>
      <c r="ED58" s="402"/>
      <c r="EE58" s="402"/>
      <c r="EF58" s="402"/>
      <c r="EG58" s="402"/>
      <c r="EH58" s="402"/>
      <c r="EI58" s="402"/>
      <c r="EJ58" s="402"/>
      <c r="EK58" s="402"/>
      <c r="EL58" s="402"/>
      <c r="EM58" s="402"/>
      <c r="EN58" s="402"/>
      <c r="EO58" s="402"/>
      <c r="EP58" s="402"/>
      <c r="EQ58" s="402"/>
      <c r="ER58" s="402"/>
      <c r="ES58" s="402"/>
      <c r="ET58" s="402"/>
      <c r="EU58" s="402"/>
      <c r="EV58" s="402"/>
      <c r="EW58" s="402"/>
      <c r="EX58" s="402"/>
      <c r="EY58" s="402"/>
      <c r="EZ58" s="402"/>
      <c r="FA58" s="402"/>
      <c r="FB58" s="402"/>
      <c r="FC58" s="402"/>
      <c r="FD58" s="402"/>
      <c r="FE58" s="402"/>
      <c r="FF58" s="402"/>
      <c r="FG58" s="402"/>
      <c r="FH58" s="402"/>
      <c r="FI58" s="402"/>
      <c r="FJ58" s="402"/>
      <c r="FK58" s="402"/>
      <c r="FL58" s="402"/>
      <c r="FM58" s="402"/>
      <c r="FN58" s="402"/>
      <c r="FO58" s="402"/>
      <c r="FP58" s="402"/>
      <c r="FQ58" s="402"/>
      <c r="FR58" s="402"/>
      <c r="FS58" s="402"/>
      <c r="FT58" s="402"/>
      <c r="FU58" s="402"/>
      <c r="FV58" s="402"/>
      <c r="FW58" s="402"/>
      <c r="FX58" s="402"/>
      <c r="FY58" s="402"/>
      <c r="FZ58" s="402"/>
      <c r="GA58" s="402"/>
      <c r="GB58" s="402"/>
      <c r="GC58" s="402"/>
      <c r="GD58" s="402"/>
      <c r="GE58" s="402"/>
      <c r="GF58" s="402"/>
      <c r="GG58" s="402"/>
      <c r="GH58" s="402"/>
      <c r="GI58" s="402"/>
      <c r="GJ58" s="402"/>
      <c r="GK58" s="402"/>
      <c r="GL58" s="402"/>
      <c r="GM58" s="402"/>
      <c r="GN58" s="402"/>
      <c r="GO58" s="402"/>
      <c r="GP58" s="402"/>
      <c r="GQ58" s="402"/>
      <c r="GR58" s="402"/>
      <c r="GS58" s="402"/>
      <c r="GT58" s="402"/>
      <c r="GU58" s="402"/>
      <c r="GV58" s="402"/>
      <c r="GW58" s="402"/>
      <c r="GX58" s="402"/>
      <c r="GY58" s="402"/>
      <c r="GZ58" s="402"/>
      <c r="HA58" s="402"/>
      <c r="HB58" s="402"/>
      <c r="HC58" s="402"/>
      <c r="HD58" s="402"/>
      <c r="HE58" s="402"/>
      <c r="HF58" s="402"/>
      <c r="HG58" s="402"/>
      <c r="HH58" s="402"/>
      <c r="HI58" s="402"/>
      <c r="HJ58" s="402"/>
      <c r="HK58" s="402"/>
      <c r="HL58" s="402"/>
      <c r="HM58" s="402"/>
      <c r="HN58" s="402"/>
      <c r="HO58" s="402"/>
      <c r="HP58" s="402"/>
      <c r="HQ58" s="402"/>
      <c r="HR58" s="402"/>
      <c r="HS58" s="402"/>
      <c r="HT58" s="402"/>
      <c r="HU58" s="402"/>
      <c r="HV58" s="402"/>
      <c r="HW58" s="402"/>
      <c r="HX58" s="402"/>
      <c r="HY58" s="402"/>
      <c r="HZ58" s="402"/>
      <c r="IA58" s="402"/>
      <c r="IB58" s="402"/>
      <c r="IC58" s="402"/>
      <c r="ID58" s="402"/>
      <c r="IE58" s="402"/>
      <c r="IF58" s="402"/>
      <c r="IG58" s="402"/>
      <c r="IH58" s="402"/>
      <c r="II58" s="402"/>
      <c r="IJ58" s="402"/>
      <c r="IK58" s="402"/>
      <c r="IL58" s="402"/>
      <c r="IM58" s="402"/>
      <c r="IN58" s="402"/>
      <c r="IO58" s="402"/>
      <c r="IP58" s="402"/>
      <c r="IQ58" s="402"/>
      <c r="IR58" s="402"/>
      <c r="IS58" s="402"/>
      <c r="IT58" s="402"/>
      <c r="IU58" s="402"/>
      <c r="IV58" s="402"/>
    </row>
    <row r="59" spans="1:256" ht="18" customHeight="1" x14ac:dyDescent="0.25">
      <c r="A59" s="1237" t="s">
        <v>1288</v>
      </c>
      <c r="B59" s="1237"/>
      <c r="C59" s="1237"/>
      <c r="D59" s="1237"/>
      <c r="E59" s="1237"/>
      <c r="F59" s="1237"/>
      <c r="G59" s="1237"/>
      <c r="H59" s="1237"/>
      <c r="I59" s="1237"/>
      <c r="J59" s="1237"/>
      <c r="K59" s="1237"/>
      <c r="L59" s="1237"/>
      <c r="M59" s="1237"/>
      <c r="N59" s="1237"/>
      <c r="O59" s="1237"/>
      <c r="P59" s="1237"/>
      <c r="Q59" s="1237"/>
      <c r="R59" s="1237"/>
      <c r="S59" s="1237"/>
      <c r="T59" s="1237"/>
      <c r="U59" s="402"/>
      <c r="V59" s="402"/>
      <c r="W59" s="402"/>
      <c r="X59" s="402"/>
      <c r="Y59" s="402"/>
      <c r="Z59" s="402"/>
      <c r="AA59" s="402"/>
      <c r="AB59" s="402"/>
      <c r="AC59" s="402"/>
      <c r="AD59" s="402"/>
      <c r="AE59" s="402"/>
      <c r="AF59" s="402"/>
      <c r="AG59" s="402"/>
      <c r="AH59" s="402"/>
      <c r="AI59" s="402"/>
      <c r="AJ59" s="402"/>
      <c r="AK59" s="402"/>
      <c r="AL59" s="402"/>
      <c r="AM59" s="402"/>
      <c r="AN59" s="402"/>
      <c r="AO59" s="402"/>
      <c r="AP59" s="402"/>
      <c r="AQ59" s="402"/>
      <c r="AR59" s="402"/>
      <c r="AS59" s="402"/>
      <c r="AT59" s="402"/>
      <c r="AU59" s="402"/>
      <c r="AV59" s="402"/>
      <c r="AW59" s="402"/>
      <c r="AX59" s="402"/>
      <c r="AY59" s="402"/>
      <c r="AZ59" s="402"/>
      <c r="BA59" s="402"/>
      <c r="BB59" s="402"/>
      <c r="BC59" s="402"/>
      <c r="BD59" s="402"/>
      <c r="BE59" s="402"/>
      <c r="BF59" s="402"/>
      <c r="BG59" s="402"/>
      <c r="BH59" s="402"/>
      <c r="BI59" s="402"/>
      <c r="BJ59" s="402"/>
      <c r="BK59" s="402"/>
      <c r="BL59" s="402"/>
      <c r="BM59" s="402"/>
      <c r="BN59" s="402"/>
      <c r="BO59" s="402"/>
      <c r="BP59" s="402"/>
      <c r="BQ59" s="402"/>
      <c r="BR59" s="402"/>
      <c r="BS59" s="402"/>
      <c r="BT59" s="402"/>
      <c r="BU59" s="402"/>
      <c r="BV59" s="402"/>
      <c r="BW59" s="402"/>
      <c r="BX59" s="402"/>
      <c r="BY59" s="402"/>
      <c r="BZ59" s="402"/>
      <c r="CA59" s="402"/>
      <c r="CB59" s="402"/>
      <c r="CC59" s="402"/>
      <c r="CD59" s="402"/>
      <c r="CE59" s="402"/>
      <c r="CF59" s="402"/>
      <c r="CG59" s="402"/>
      <c r="CH59" s="402"/>
      <c r="CI59" s="402"/>
      <c r="CJ59" s="402"/>
      <c r="CK59" s="402"/>
      <c r="CL59" s="402"/>
      <c r="CM59" s="402"/>
      <c r="CN59" s="402"/>
      <c r="CO59" s="402"/>
      <c r="CP59" s="402"/>
      <c r="CQ59" s="402"/>
      <c r="CR59" s="402"/>
      <c r="CS59" s="402"/>
      <c r="CT59" s="402"/>
      <c r="CU59" s="402"/>
      <c r="CV59" s="402"/>
      <c r="CW59" s="402"/>
      <c r="CX59" s="402"/>
      <c r="CY59" s="402"/>
      <c r="CZ59" s="402"/>
      <c r="DA59" s="402"/>
      <c r="DB59" s="402"/>
      <c r="DC59" s="402"/>
      <c r="DD59" s="402"/>
      <c r="DE59" s="402"/>
      <c r="DF59" s="402"/>
      <c r="DG59" s="402"/>
      <c r="DH59" s="402"/>
      <c r="DI59" s="402"/>
      <c r="DJ59" s="402"/>
      <c r="DK59" s="402"/>
      <c r="DL59" s="402"/>
      <c r="DM59" s="402"/>
      <c r="DN59" s="402"/>
      <c r="DO59" s="402"/>
      <c r="DP59" s="402"/>
      <c r="DQ59" s="402"/>
      <c r="DR59" s="402"/>
      <c r="DS59" s="402"/>
      <c r="DT59" s="402"/>
      <c r="DU59" s="402"/>
      <c r="DV59" s="402"/>
      <c r="DW59" s="402"/>
      <c r="DX59" s="402"/>
      <c r="DY59" s="402"/>
      <c r="DZ59" s="402"/>
      <c r="EA59" s="402"/>
      <c r="EB59" s="402"/>
      <c r="EC59" s="402"/>
      <c r="ED59" s="402"/>
      <c r="EE59" s="402"/>
      <c r="EF59" s="402"/>
      <c r="EG59" s="402"/>
      <c r="EH59" s="402"/>
      <c r="EI59" s="402"/>
      <c r="EJ59" s="402"/>
      <c r="EK59" s="402"/>
      <c r="EL59" s="402"/>
      <c r="EM59" s="402"/>
      <c r="EN59" s="402"/>
      <c r="EO59" s="402"/>
      <c r="EP59" s="402"/>
      <c r="EQ59" s="402"/>
      <c r="ER59" s="402"/>
      <c r="ES59" s="402"/>
      <c r="ET59" s="402"/>
      <c r="EU59" s="402"/>
      <c r="EV59" s="402"/>
      <c r="EW59" s="402"/>
      <c r="EX59" s="402"/>
      <c r="EY59" s="402"/>
      <c r="EZ59" s="402"/>
      <c r="FA59" s="402"/>
      <c r="FB59" s="402"/>
      <c r="FC59" s="402"/>
      <c r="FD59" s="402"/>
      <c r="FE59" s="402"/>
      <c r="FF59" s="402"/>
      <c r="FG59" s="402"/>
      <c r="FH59" s="402"/>
      <c r="FI59" s="402"/>
      <c r="FJ59" s="402"/>
      <c r="FK59" s="402"/>
      <c r="FL59" s="402"/>
      <c r="FM59" s="402"/>
      <c r="FN59" s="402"/>
      <c r="FO59" s="402"/>
      <c r="FP59" s="402"/>
      <c r="FQ59" s="402"/>
      <c r="FR59" s="402"/>
      <c r="FS59" s="402"/>
      <c r="FT59" s="402"/>
      <c r="FU59" s="402"/>
      <c r="FV59" s="402"/>
      <c r="FW59" s="402"/>
      <c r="FX59" s="402"/>
      <c r="FY59" s="402"/>
      <c r="FZ59" s="402"/>
      <c r="GA59" s="402"/>
      <c r="GB59" s="402"/>
      <c r="GC59" s="402"/>
      <c r="GD59" s="402"/>
      <c r="GE59" s="402"/>
      <c r="GF59" s="402"/>
      <c r="GG59" s="402"/>
      <c r="GH59" s="402"/>
      <c r="GI59" s="402"/>
      <c r="GJ59" s="402"/>
      <c r="GK59" s="402"/>
      <c r="GL59" s="402"/>
      <c r="GM59" s="402"/>
      <c r="GN59" s="402"/>
      <c r="GO59" s="402"/>
      <c r="GP59" s="402"/>
      <c r="GQ59" s="402"/>
      <c r="GR59" s="402"/>
      <c r="GS59" s="402"/>
      <c r="GT59" s="402"/>
      <c r="GU59" s="402"/>
      <c r="GV59" s="402"/>
      <c r="GW59" s="402"/>
      <c r="GX59" s="402"/>
      <c r="GY59" s="402"/>
      <c r="GZ59" s="402"/>
      <c r="HA59" s="402"/>
      <c r="HB59" s="402"/>
      <c r="HC59" s="402"/>
      <c r="HD59" s="402"/>
      <c r="HE59" s="402"/>
      <c r="HF59" s="402"/>
      <c r="HG59" s="402"/>
      <c r="HH59" s="402"/>
      <c r="HI59" s="402"/>
      <c r="HJ59" s="402"/>
      <c r="HK59" s="402"/>
      <c r="HL59" s="402"/>
      <c r="HM59" s="402"/>
      <c r="HN59" s="402"/>
      <c r="HO59" s="402"/>
      <c r="HP59" s="402"/>
      <c r="HQ59" s="402"/>
      <c r="HR59" s="402"/>
      <c r="HS59" s="402"/>
      <c r="HT59" s="402"/>
      <c r="HU59" s="402"/>
      <c r="HV59" s="402"/>
      <c r="HW59" s="402"/>
      <c r="HX59" s="402"/>
      <c r="HY59" s="402"/>
      <c r="HZ59" s="402"/>
      <c r="IA59" s="402"/>
      <c r="IB59" s="402"/>
      <c r="IC59" s="402"/>
      <c r="ID59" s="402"/>
      <c r="IE59" s="402"/>
      <c r="IF59" s="402"/>
      <c r="IG59" s="402"/>
      <c r="IH59" s="402"/>
      <c r="II59" s="402"/>
      <c r="IJ59" s="402"/>
      <c r="IK59" s="402"/>
      <c r="IL59" s="402"/>
      <c r="IM59" s="402"/>
      <c r="IN59" s="402"/>
      <c r="IO59" s="402"/>
      <c r="IP59" s="402"/>
      <c r="IQ59" s="402"/>
      <c r="IR59" s="402"/>
      <c r="IS59" s="402"/>
      <c r="IT59" s="402"/>
      <c r="IU59" s="402"/>
      <c r="IV59" s="402"/>
    </row>
    <row r="60" spans="1:256" ht="18" customHeight="1" x14ac:dyDescent="0.25">
      <c r="A60" s="1237" t="s">
        <v>858</v>
      </c>
      <c r="B60" s="1237"/>
      <c r="C60" s="1237"/>
      <c r="D60" s="1237"/>
      <c r="E60" s="1237"/>
      <c r="F60" s="1237"/>
      <c r="G60" s="1237"/>
      <c r="H60" s="1237"/>
      <c r="I60" s="1237"/>
      <c r="J60" s="1237"/>
      <c r="K60" s="1237"/>
      <c r="L60" s="1237"/>
      <c r="M60" s="1237"/>
      <c r="N60" s="1237"/>
      <c r="O60" s="1237"/>
      <c r="P60" s="1237"/>
      <c r="Q60" s="1237"/>
      <c r="R60" s="1237"/>
      <c r="S60" s="1237"/>
      <c r="T60" s="1237"/>
      <c r="U60" s="402"/>
      <c r="V60" s="402"/>
      <c r="W60" s="402"/>
      <c r="X60" s="402"/>
      <c r="Y60" s="402"/>
      <c r="Z60" s="402"/>
      <c r="AA60" s="402"/>
      <c r="AB60" s="402"/>
      <c r="AC60" s="402"/>
      <c r="AD60" s="402"/>
      <c r="AE60" s="402"/>
      <c r="AF60" s="402"/>
      <c r="AG60" s="402"/>
      <c r="AH60" s="402"/>
      <c r="AI60" s="402"/>
      <c r="AJ60" s="402"/>
      <c r="AK60" s="402"/>
      <c r="AL60" s="402"/>
      <c r="AM60" s="402"/>
      <c r="AN60" s="402"/>
      <c r="AO60" s="402"/>
      <c r="AP60" s="402"/>
      <c r="AQ60" s="402"/>
      <c r="AR60" s="402"/>
      <c r="AS60" s="402"/>
      <c r="AT60" s="402"/>
      <c r="AU60" s="402"/>
      <c r="AV60" s="402"/>
      <c r="AW60" s="402"/>
      <c r="AX60" s="402"/>
      <c r="AY60" s="402"/>
      <c r="AZ60" s="402"/>
      <c r="BA60" s="402"/>
      <c r="BB60" s="402"/>
      <c r="BC60" s="402"/>
      <c r="BD60" s="402"/>
      <c r="BE60" s="402"/>
      <c r="BF60" s="402"/>
      <c r="BG60" s="402"/>
      <c r="BH60" s="402"/>
      <c r="BI60" s="402"/>
      <c r="BJ60" s="402"/>
      <c r="BK60" s="402"/>
      <c r="BL60" s="402"/>
      <c r="BM60" s="402"/>
      <c r="BN60" s="402"/>
      <c r="BO60" s="402"/>
      <c r="BP60" s="402"/>
      <c r="BQ60" s="402"/>
      <c r="BR60" s="402"/>
      <c r="BS60" s="402"/>
      <c r="BT60" s="402"/>
      <c r="BU60" s="402"/>
      <c r="BV60" s="402"/>
      <c r="BW60" s="402"/>
      <c r="BX60" s="402"/>
      <c r="BY60" s="402"/>
      <c r="BZ60" s="402"/>
      <c r="CA60" s="402"/>
      <c r="CB60" s="402"/>
      <c r="CC60" s="402"/>
      <c r="CD60" s="402"/>
      <c r="CE60" s="402"/>
      <c r="CF60" s="402"/>
      <c r="CG60" s="402"/>
      <c r="CH60" s="402"/>
      <c r="CI60" s="402"/>
      <c r="CJ60" s="402"/>
      <c r="CK60" s="402"/>
      <c r="CL60" s="402"/>
      <c r="CM60" s="402"/>
      <c r="CN60" s="402"/>
      <c r="CO60" s="402"/>
      <c r="CP60" s="402"/>
      <c r="CQ60" s="402"/>
      <c r="CR60" s="402"/>
      <c r="CS60" s="402"/>
      <c r="CT60" s="402"/>
      <c r="CU60" s="402"/>
      <c r="CV60" s="402"/>
      <c r="CW60" s="402"/>
      <c r="CX60" s="402"/>
      <c r="CY60" s="402"/>
      <c r="CZ60" s="402"/>
      <c r="DA60" s="402"/>
      <c r="DB60" s="402"/>
      <c r="DC60" s="402"/>
      <c r="DD60" s="402"/>
      <c r="DE60" s="402"/>
      <c r="DF60" s="402"/>
      <c r="DG60" s="402"/>
      <c r="DH60" s="402"/>
      <c r="DI60" s="402"/>
      <c r="DJ60" s="402"/>
      <c r="DK60" s="402"/>
      <c r="DL60" s="402"/>
      <c r="DM60" s="402"/>
      <c r="DN60" s="402"/>
      <c r="DO60" s="402"/>
      <c r="DP60" s="402"/>
      <c r="DQ60" s="402"/>
      <c r="DR60" s="402"/>
      <c r="DS60" s="402"/>
      <c r="DT60" s="402"/>
      <c r="DU60" s="402"/>
      <c r="DV60" s="402"/>
      <c r="DW60" s="402"/>
      <c r="DX60" s="402"/>
      <c r="DY60" s="402"/>
      <c r="DZ60" s="402"/>
      <c r="EA60" s="402"/>
      <c r="EB60" s="402"/>
      <c r="EC60" s="402"/>
      <c r="ED60" s="402"/>
      <c r="EE60" s="402"/>
      <c r="EF60" s="402"/>
      <c r="EG60" s="402"/>
      <c r="EH60" s="402"/>
      <c r="EI60" s="402"/>
      <c r="EJ60" s="402"/>
      <c r="EK60" s="402"/>
      <c r="EL60" s="402"/>
      <c r="EM60" s="402"/>
      <c r="EN60" s="402"/>
      <c r="EO60" s="402"/>
      <c r="EP60" s="402"/>
      <c r="EQ60" s="402"/>
      <c r="ER60" s="402"/>
      <c r="ES60" s="402"/>
      <c r="ET60" s="402"/>
      <c r="EU60" s="402"/>
      <c r="EV60" s="402"/>
      <c r="EW60" s="402"/>
      <c r="EX60" s="402"/>
      <c r="EY60" s="402"/>
      <c r="EZ60" s="402"/>
      <c r="FA60" s="402"/>
      <c r="FB60" s="402"/>
      <c r="FC60" s="402"/>
      <c r="FD60" s="402"/>
      <c r="FE60" s="402"/>
      <c r="FF60" s="402"/>
      <c r="FG60" s="402"/>
      <c r="FH60" s="402"/>
      <c r="FI60" s="402"/>
      <c r="FJ60" s="402"/>
      <c r="FK60" s="402"/>
      <c r="FL60" s="402"/>
      <c r="FM60" s="402"/>
      <c r="FN60" s="402"/>
      <c r="FO60" s="402"/>
      <c r="FP60" s="402"/>
      <c r="FQ60" s="402"/>
      <c r="FR60" s="402"/>
      <c r="FS60" s="402"/>
      <c r="FT60" s="402"/>
      <c r="FU60" s="402"/>
      <c r="FV60" s="402"/>
      <c r="FW60" s="402"/>
      <c r="FX60" s="402"/>
      <c r="FY60" s="402"/>
      <c r="FZ60" s="402"/>
      <c r="GA60" s="402"/>
      <c r="GB60" s="402"/>
      <c r="GC60" s="402"/>
      <c r="GD60" s="402"/>
      <c r="GE60" s="402"/>
      <c r="GF60" s="402"/>
      <c r="GG60" s="402"/>
      <c r="GH60" s="402"/>
      <c r="GI60" s="402"/>
      <c r="GJ60" s="402"/>
      <c r="GK60" s="402"/>
      <c r="GL60" s="402"/>
      <c r="GM60" s="402"/>
      <c r="GN60" s="402"/>
      <c r="GO60" s="402"/>
      <c r="GP60" s="402"/>
      <c r="GQ60" s="402"/>
      <c r="GR60" s="402"/>
      <c r="GS60" s="402"/>
      <c r="GT60" s="402"/>
      <c r="GU60" s="402"/>
      <c r="GV60" s="402"/>
      <c r="GW60" s="402"/>
      <c r="GX60" s="402"/>
      <c r="GY60" s="402"/>
      <c r="GZ60" s="402"/>
      <c r="HA60" s="402"/>
      <c r="HB60" s="402"/>
      <c r="HC60" s="402"/>
      <c r="HD60" s="402"/>
      <c r="HE60" s="402"/>
      <c r="HF60" s="402"/>
      <c r="HG60" s="402"/>
      <c r="HH60" s="402"/>
      <c r="HI60" s="402"/>
      <c r="HJ60" s="402"/>
      <c r="HK60" s="402"/>
      <c r="HL60" s="402"/>
      <c r="HM60" s="402"/>
      <c r="HN60" s="402"/>
      <c r="HO60" s="402"/>
      <c r="HP60" s="402"/>
      <c r="HQ60" s="402"/>
      <c r="HR60" s="402"/>
      <c r="HS60" s="402"/>
      <c r="HT60" s="402"/>
      <c r="HU60" s="402"/>
      <c r="HV60" s="402"/>
      <c r="HW60" s="402"/>
      <c r="HX60" s="402"/>
      <c r="HY60" s="402"/>
      <c r="HZ60" s="402"/>
      <c r="IA60" s="402"/>
      <c r="IB60" s="402"/>
      <c r="IC60" s="402"/>
      <c r="ID60" s="402"/>
      <c r="IE60" s="402"/>
      <c r="IF60" s="402"/>
      <c r="IG60" s="402"/>
      <c r="IH60" s="402"/>
      <c r="II60" s="402"/>
      <c r="IJ60" s="402"/>
      <c r="IK60" s="402"/>
      <c r="IL60" s="402"/>
      <c r="IM60" s="402"/>
      <c r="IN60" s="402"/>
      <c r="IO60" s="402"/>
      <c r="IP60" s="402"/>
      <c r="IQ60" s="402"/>
      <c r="IR60" s="402"/>
      <c r="IS60" s="402"/>
      <c r="IT60" s="402"/>
      <c r="IU60" s="402"/>
      <c r="IV60" s="402"/>
    </row>
    <row r="61" spans="1:256" ht="18" customHeight="1" x14ac:dyDescent="0.25">
      <c r="A61" s="1299" t="s">
        <v>1312</v>
      </c>
      <c r="B61" s="1299"/>
      <c r="C61" s="1299"/>
      <c r="D61" s="1299"/>
      <c r="E61" s="1299"/>
      <c r="F61" s="1299"/>
      <c r="G61" s="1299"/>
      <c r="H61" s="1299"/>
      <c r="I61" s="1299"/>
      <c r="J61" s="1299"/>
      <c r="K61" s="1299"/>
      <c r="L61" s="1299"/>
      <c r="M61" s="1299"/>
      <c r="N61" s="1299"/>
      <c r="O61" s="1299"/>
      <c r="P61" s="1299"/>
      <c r="Q61" s="1299"/>
      <c r="R61" s="1299"/>
      <c r="S61" s="1299"/>
      <c r="T61" s="1299"/>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c r="GH61" s="27"/>
      <c r="GI61" s="27"/>
      <c r="GJ61" s="27"/>
      <c r="GK61" s="27"/>
      <c r="GL61" s="27"/>
      <c r="GM61" s="27"/>
      <c r="GN61" s="27"/>
      <c r="GO61" s="27"/>
      <c r="GP61" s="27"/>
      <c r="GQ61" s="27"/>
      <c r="GR61" s="27"/>
      <c r="GS61" s="27"/>
      <c r="GT61" s="27"/>
      <c r="GU61" s="27"/>
      <c r="GV61" s="27"/>
      <c r="GW61" s="27"/>
      <c r="GX61" s="27"/>
      <c r="GY61" s="27"/>
      <c r="GZ61" s="27"/>
      <c r="HA61" s="27"/>
      <c r="HB61" s="27"/>
      <c r="HC61" s="27"/>
      <c r="HD61" s="27"/>
      <c r="HE61" s="27"/>
      <c r="HF61" s="27"/>
      <c r="HG61" s="27"/>
      <c r="HH61" s="27"/>
      <c r="HI61" s="27"/>
      <c r="HJ61" s="27"/>
      <c r="HK61" s="27"/>
      <c r="HL61" s="27"/>
      <c r="HM61" s="27"/>
      <c r="HN61" s="27"/>
      <c r="HO61" s="27"/>
      <c r="HP61" s="27"/>
      <c r="HQ61" s="27"/>
      <c r="HR61" s="27"/>
      <c r="HS61" s="27"/>
      <c r="HT61" s="27"/>
      <c r="HU61" s="27"/>
      <c r="HV61" s="27"/>
      <c r="HW61" s="27"/>
      <c r="HX61" s="27"/>
      <c r="HY61" s="27"/>
      <c r="HZ61" s="27"/>
      <c r="IA61" s="27"/>
      <c r="IB61" s="27"/>
      <c r="IC61" s="27"/>
      <c r="ID61" s="27"/>
      <c r="IE61" s="27"/>
      <c r="IF61" s="27"/>
      <c r="IG61" s="27"/>
      <c r="IH61" s="27"/>
      <c r="II61" s="27"/>
      <c r="IJ61" s="27"/>
      <c r="IK61" s="27"/>
      <c r="IL61" s="27"/>
      <c r="IM61" s="27"/>
      <c r="IN61" s="27"/>
      <c r="IO61" s="27"/>
      <c r="IP61" s="27"/>
      <c r="IQ61" s="27"/>
      <c r="IR61" s="27"/>
      <c r="IS61" s="27"/>
      <c r="IT61" s="27"/>
      <c r="IU61" s="27"/>
      <c r="IV61" s="27"/>
    </row>
    <row r="62" spans="1:256" ht="18" customHeight="1" x14ac:dyDescent="0.25">
      <c r="A62" s="1299" t="s">
        <v>186</v>
      </c>
      <c r="B62" s="1299"/>
      <c r="C62" s="1299"/>
      <c r="D62" s="1299"/>
      <c r="E62" s="1299"/>
      <c r="F62" s="1299"/>
      <c r="G62" s="1299"/>
      <c r="H62" s="1299"/>
      <c r="I62" s="1299"/>
      <c r="J62" s="1299"/>
      <c r="K62" s="1299"/>
      <c r="L62" s="1299"/>
      <c r="M62" s="1299"/>
      <c r="N62" s="1299"/>
      <c r="O62" s="1299"/>
      <c r="P62" s="1299"/>
      <c r="Q62" s="1299"/>
      <c r="R62" s="1299"/>
      <c r="S62" s="1299"/>
      <c r="T62" s="1299"/>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c r="GH62" s="27"/>
      <c r="GI62" s="27"/>
      <c r="GJ62" s="27"/>
      <c r="GK62" s="27"/>
      <c r="GL62" s="27"/>
      <c r="GM62" s="27"/>
      <c r="GN62" s="27"/>
      <c r="GO62" s="27"/>
      <c r="GP62" s="27"/>
      <c r="GQ62" s="27"/>
      <c r="GR62" s="27"/>
      <c r="GS62" s="27"/>
      <c r="GT62" s="27"/>
      <c r="GU62" s="27"/>
      <c r="GV62" s="27"/>
      <c r="GW62" s="27"/>
      <c r="GX62" s="27"/>
      <c r="GY62" s="27"/>
      <c r="GZ62" s="27"/>
      <c r="HA62" s="27"/>
      <c r="HB62" s="27"/>
      <c r="HC62" s="27"/>
      <c r="HD62" s="27"/>
      <c r="HE62" s="27"/>
      <c r="HF62" s="27"/>
      <c r="HG62" s="27"/>
      <c r="HH62" s="27"/>
      <c r="HI62" s="27"/>
      <c r="HJ62" s="27"/>
      <c r="HK62" s="27"/>
      <c r="HL62" s="27"/>
      <c r="HM62" s="27"/>
      <c r="HN62" s="27"/>
      <c r="HO62" s="27"/>
      <c r="HP62" s="27"/>
      <c r="HQ62" s="27"/>
      <c r="HR62" s="27"/>
      <c r="HS62" s="27"/>
      <c r="HT62" s="27"/>
      <c r="HU62" s="27"/>
      <c r="HV62" s="27"/>
      <c r="HW62" s="27"/>
      <c r="HX62" s="27"/>
      <c r="HY62" s="27"/>
      <c r="HZ62" s="27"/>
      <c r="IA62" s="27"/>
      <c r="IB62" s="27"/>
      <c r="IC62" s="27"/>
      <c r="ID62" s="27"/>
      <c r="IE62" s="27"/>
      <c r="IF62" s="27"/>
      <c r="IG62" s="27"/>
      <c r="IH62" s="27"/>
      <c r="II62" s="27"/>
      <c r="IJ62" s="27"/>
      <c r="IK62" s="27"/>
      <c r="IL62" s="27"/>
      <c r="IM62" s="27"/>
      <c r="IN62" s="27"/>
      <c r="IO62" s="27"/>
      <c r="IP62" s="27"/>
      <c r="IQ62" s="27"/>
      <c r="IR62" s="27"/>
      <c r="IS62" s="27"/>
      <c r="IT62" s="27"/>
      <c r="IU62" s="27"/>
      <c r="IV62" s="27"/>
    </row>
    <row r="63" spans="1:256" ht="18" customHeight="1" x14ac:dyDescent="0.25">
      <c r="A63" s="1299" t="s">
        <v>834</v>
      </c>
      <c r="B63" s="1299"/>
      <c r="C63" s="1299"/>
      <c r="D63" s="1299"/>
      <c r="E63" s="1299"/>
      <c r="F63" s="1299"/>
      <c r="G63" s="1299"/>
      <c r="H63" s="1299"/>
      <c r="I63" s="1299"/>
      <c r="J63" s="1299"/>
      <c r="K63" s="1299"/>
      <c r="L63" s="1299"/>
      <c r="M63" s="1299"/>
      <c r="N63" s="1299"/>
      <c r="O63" s="1299"/>
      <c r="P63" s="1299"/>
      <c r="Q63" s="1299"/>
      <c r="R63" s="1299"/>
      <c r="S63" s="1299"/>
      <c r="T63" s="1299"/>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c r="FJ63" s="27"/>
      <c r="FK63" s="27"/>
      <c r="FL63" s="27"/>
      <c r="FM63" s="27"/>
      <c r="FN63" s="27"/>
      <c r="FO63" s="27"/>
      <c r="FP63" s="27"/>
      <c r="FQ63" s="27"/>
      <c r="FR63" s="27"/>
      <c r="FS63" s="27"/>
      <c r="FT63" s="27"/>
      <c r="FU63" s="27"/>
      <c r="FV63" s="27"/>
      <c r="FW63" s="27"/>
      <c r="FX63" s="27"/>
      <c r="FY63" s="27"/>
      <c r="FZ63" s="27"/>
      <c r="GA63" s="27"/>
      <c r="GB63" s="27"/>
      <c r="GC63" s="27"/>
      <c r="GD63" s="27"/>
      <c r="GE63" s="27"/>
      <c r="GF63" s="27"/>
      <c r="GG63" s="27"/>
      <c r="GH63" s="27"/>
      <c r="GI63" s="27"/>
      <c r="GJ63" s="27"/>
      <c r="GK63" s="27"/>
      <c r="GL63" s="27"/>
      <c r="GM63" s="27"/>
      <c r="GN63" s="27"/>
      <c r="GO63" s="27"/>
      <c r="GP63" s="27"/>
      <c r="GQ63" s="27"/>
      <c r="GR63" s="27"/>
      <c r="GS63" s="27"/>
      <c r="GT63" s="27"/>
      <c r="GU63" s="27"/>
      <c r="GV63" s="27"/>
      <c r="GW63" s="27"/>
      <c r="GX63" s="27"/>
      <c r="GY63" s="27"/>
      <c r="GZ63" s="27"/>
      <c r="HA63" s="27"/>
      <c r="HB63" s="27"/>
      <c r="HC63" s="27"/>
      <c r="HD63" s="27"/>
      <c r="HE63" s="27"/>
      <c r="HF63" s="27"/>
      <c r="HG63" s="27"/>
      <c r="HH63" s="27"/>
      <c r="HI63" s="27"/>
      <c r="HJ63" s="27"/>
      <c r="HK63" s="27"/>
      <c r="HL63" s="27"/>
      <c r="HM63" s="27"/>
      <c r="HN63" s="27"/>
      <c r="HO63" s="27"/>
      <c r="HP63" s="27"/>
      <c r="HQ63" s="27"/>
      <c r="HR63" s="27"/>
      <c r="HS63" s="27"/>
      <c r="HT63" s="27"/>
      <c r="HU63" s="27"/>
      <c r="HV63" s="27"/>
      <c r="HW63" s="27"/>
      <c r="HX63" s="27"/>
      <c r="HY63" s="27"/>
      <c r="HZ63" s="27"/>
      <c r="IA63" s="27"/>
      <c r="IB63" s="27"/>
      <c r="IC63" s="27"/>
      <c r="ID63" s="27"/>
      <c r="IE63" s="27"/>
      <c r="IF63" s="27"/>
      <c r="IG63" s="27"/>
      <c r="IH63" s="27"/>
      <c r="II63" s="27"/>
      <c r="IJ63" s="27"/>
      <c r="IK63" s="27"/>
      <c r="IL63" s="27"/>
      <c r="IM63" s="27"/>
      <c r="IN63" s="27"/>
      <c r="IO63" s="27"/>
      <c r="IP63" s="27"/>
      <c r="IQ63" s="27"/>
      <c r="IR63" s="27"/>
      <c r="IS63" s="27"/>
      <c r="IT63" s="27"/>
      <c r="IU63" s="27"/>
      <c r="IV63" s="27"/>
    </row>
    <row r="64" spans="1:256" ht="18" customHeight="1" x14ac:dyDescent="0.25">
      <c r="A64" s="1238" t="s">
        <v>578</v>
      </c>
      <c r="B64" s="1238"/>
      <c r="C64" s="1238"/>
      <c r="D64" s="1238"/>
      <c r="E64" s="1238"/>
      <c r="F64" s="1238"/>
      <c r="G64" s="1238"/>
      <c r="H64" s="1238"/>
      <c r="I64" s="1238"/>
      <c r="J64" s="1238"/>
      <c r="K64" s="1238"/>
      <c r="L64" s="1238"/>
      <c r="M64" s="1238"/>
      <c r="N64" s="1238"/>
      <c r="O64" s="1238"/>
      <c r="P64" s="1238"/>
      <c r="Q64" s="1238"/>
      <c r="R64" s="1238"/>
      <c r="S64" s="1238"/>
      <c r="T64" s="1238"/>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c r="GH64" s="27"/>
      <c r="GI64" s="27"/>
      <c r="GJ64" s="27"/>
      <c r="GK64" s="27"/>
      <c r="GL64" s="27"/>
      <c r="GM64" s="27"/>
      <c r="GN64" s="27"/>
      <c r="GO64" s="27"/>
      <c r="GP64" s="27"/>
      <c r="GQ64" s="27"/>
      <c r="GR64" s="27"/>
      <c r="GS64" s="27"/>
      <c r="GT64" s="27"/>
      <c r="GU64" s="27"/>
      <c r="GV64" s="27"/>
      <c r="GW64" s="27"/>
      <c r="GX64" s="27"/>
      <c r="GY64" s="27"/>
      <c r="GZ64" s="27"/>
      <c r="HA64" s="27"/>
      <c r="HB64" s="27"/>
      <c r="HC64" s="27"/>
      <c r="HD64" s="27"/>
      <c r="HE64" s="27"/>
      <c r="HF64" s="27"/>
      <c r="HG64" s="27"/>
      <c r="HH64" s="27"/>
      <c r="HI64" s="27"/>
      <c r="HJ64" s="27"/>
      <c r="HK64" s="27"/>
      <c r="HL64" s="27"/>
      <c r="HM64" s="27"/>
      <c r="HN64" s="27"/>
      <c r="HO64" s="27"/>
      <c r="HP64" s="27"/>
      <c r="HQ64" s="27"/>
      <c r="HR64" s="27"/>
      <c r="HS64" s="27"/>
      <c r="HT64" s="27"/>
      <c r="HU64" s="27"/>
      <c r="HV64" s="27"/>
      <c r="HW64" s="27"/>
      <c r="HX64" s="27"/>
      <c r="HY64" s="27"/>
      <c r="HZ64" s="27"/>
      <c r="IA64" s="27"/>
      <c r="IB64" s="27"/>
      <c r="IC64" s="27"/>
      <c r="ID64" s="27"/>
      <c r="IE64" s="27"/>
      <c r="IF64" s="27"/>
      <c r="IG64" s="27"/>
      <c r="IH64" s="27"/>
      <c r="II64" s="27"/>
      <c r="IJ64" s="27"/>
      <c r="IK64" s="27"/>
      <c r="IL64" s="27"/>
      <c r="IM64" s="27"/>
      <c r="IN64" s="27"/>
      <c r="IO64" s="27"/>
      <c r="IP64" s="27"/>
      <c r="IQ64" s="27"/>
      <c r="IR64" s="27"/>
      <c r="IS64" s="27"/>
      <c r="IT64" s="27"/>
      <c r="IU64" s="27"/>
      <c r="IV64" s="27"/>
    </row>
    <row r="65" spans="1:256" ht="18" customHeight="1" x14ac:dyDescent="0.25">
      <c r="A65" s="1238" t="s">
        <v>90</v>
      </c>
      <c r="B65" s="1238"/>
      <c r="C65" s="1238"/>
      <c r="D65" s="1238"/>
      <c r="E65" s="1238"/>
      <c r="F65" s="1238"/>
      <c r="G65" s="1238"/>
      <c r="H65" s="1238"/>
      <c r="I65" s="1238"/>
      <c r="J65" s="1238"/>
      <c r="K65" s="1238"/>
      <c r="L65" s="1238"/>
      <c r="M65" s="1238"/>
      <c r="N65" s="1238"/>
      <c r="O65" s="1238"/>
      <c r="P65" s="1238"/>
      <c r="Q65" s="1238"/>
      <c r="R65" s="1238"/>
      <c r="S65" s="1238"/>
      <c r="T65" s="1238"/>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27"/>
      <c r="GM65" s="27"/>
      <c r="GN65" s="27"/>
      <c r="GO65" s="27"/>
      <c r="GP65" s="27"/>
      <c r="GQ65" s="27"/>
      <c r="GR65" s="27"/>
      <c r="GS65" s="27"/>
      <c r="GT65" s="27"/>
      <c r="GU65" s="27"/>
      <c r="GV65" s="27"/>
      <c r="GW65" s="27"/>
      <c r="GX65" s="27"/>
      <c r="GY65" s="27"/>
      <c r="GZ65" s="27"/>
      <c r="HA65" s="27"/>
      <c r="HB65" s="27"/>
      <c r="HC65" s="27"/>
      <c r="HD65" s="27"/>
      <c r="HE65" s="27"/>
      <c r="HF65" s="27"/>
      <c r="HG65" s="27"/>
      <c r="HH65" s="27"/>
      <c r="HI65" s="27"/>
      <c r="HJ65" s="27"/>
      <c r="HK65" s="27"/>
      <c r="HL65" s="27"/>
      <c r="HM65" s="27"/>
      <c r="HN65" s="27"/>
      <c r="HO65" s="27"/>
      <c r="HP65" s="27"/>
      <c r="HQ65" s="27"/>
      <c r="HR65" s="27"/>
      <c r="HS65" s="27"/>
      <c r="HT65" s="27"/>
      <c r="HU65" s="27"/>
      <c r="HV65" s="27"/>
      <c r="HW65" s="27"/>
      <c r="HX65" s="27"/>
      <c r="HY65" s="27"/>
      <c r="HZ65" s="27"/>
      <c r="IA65" s="27"/>
      <c r="IB65" s="27"/>
      <c r="IC65" s="27"/>
      <c r="ID65" s="27"/>
      <c r="IE65" s="27"/>
      <c r="IF65" s="27"/>
      <c r="IG65" s="27"/>
      <c r="IH65" s="27"/>
      <c r="II65" s="27"/>
      <c r="IJ65" s="27"/>
      <c r="IK65" s="27"/>
      <c r="IL65" s="27"/>
      <c r="IM65" s="27"/>
      <c r="IN65" s="27"/>
      <c r="IO65" s="27"/>
      <c r="IP65" s="27"/>
      <c r="IQ65" s="27"/>
      <c r="IR65" s="27"/>
      <c r="IS65" s="27"/>
      <c r="IT65" s="27"/>
      <c r="IU65" s="27"/>
      <c r="IV65" s="27"/>
    </row>
    <row r="66" spans="1:256" ht="18" customHeight="1" x14ac:dyDescent="0.25">
      <c r="A66" s="1238" t="s">
        <v>236</v>
      </c>
      <c r="B66" s="1238"/>
      <c r="C66" s="1238"/>
      <c r="D66" s="1238"/>
      <c r="E66" s="1238"/>
      <c r="F66" s="1238"/>
      <c r="G66" s="1238"/>
      <c r="H66" s="1238"/>
      <c r="I66" s="1238"/>
      <c r="J66" s="1238"/>
      <c r="K66" s="1238"/>
      <c r="L66" s="1238"/>
      <c r="M66" s="1238"/>
      <c r="N66" s="1238"/>
      <c r="O66" s="1238"/>
      <c r="P66" s="1238"/>
      <c r="Q66" s="1238"/>
      <c r="R66" s="1238"/>
      <c r="S66" s="1238"/>
      <c r="T66" s="1238"/>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27"/>
      <c r="GM66" s="27"/>
      <c r="GN66" s="27"/>
      <c r="GO66" s="27"/>
      <c r="GP66" s="27"/>
      <c r="GQ66" s="27"/>
      <c r="GR66" s="27"/>
      <c r="GS66" s="27"/>
      <c r="GT66" s="27"/>
      <c r="GU66" s="27"/>
      <c r="GV66" s="27"/>
      <c r="GW66" s="27"/>
      <c r="GX66" s="27"/>
      <c r="GY66" s="27"/>
      <c r="GZ66" s="27"/>
      <c r="HA66" s="27"/>
      <c r="HB66" s="27"/>
      <c r="HC66" s="27"/>
      <c r="HD66" s="27"/>
      <c r="HE66" s="27"/>
      <c r="HF66" s="27"/>
      <c r="HG66" s="27"/>
      <c r="HH66" s="27"/>
      <c r="HI66" s="27"/>
      <c r="HJ66" s="27"/>
      <c r="HK66" s="27"/>
      <c r="HL66" s="27"/>
      <c r="HM66" s="27"/>
      <c r="HN66" s="27"/>
      <c r="HO66" s="27"/>
      <c r="HP66" s="27"/>
      <c r="HQ66" s="27"/>
      <c r="HR66" s="27"/>
      <c r="HS66" s="27"/>
      <c r="HT66" s="27"/>
      <c r="HU66" s="27"/>
      <c r="HV66" s="27"/>
      <c r="HW66" s="27"/>
      <c r="HX66" s="27"/>
      <c r="HY66" s="27"/>
      <c r="HZ66" s="27"/>
      <c r="IA66" s="27"/>
      <c r="IB66" s="27"/>
      <c r="IC66" s="27"/>
      <c r="ID66" s="27"/>
      <c r="IE66" s="27"/>
      <c r="IF66" s="27"/>
      <c r="IG66" s="27"/>
      <c r="IH66" s="27"/>
      <c r="II66" s="27"/>
      <c r="IJ66" s="27"/>
      <c r="IK66" s="27"/>
      <c r="IL66" s="27"/>
      <c r="IM66" s="27"/>
      <c r="IN66" s="27"/>
      <c r="IO66" s="27"/>
      <c r="IP66" s="27"/>
      <c r="IQ66" s="27"/>
      <c r="IR66" s="27"/>
      <c r="IS66" s="27"/>
      <c r="IT66" s="27"/>
      <c r="IU66" s="27"/>
      <c r="IV66" s="27"/>
    </row>
    <row r="67" spans="1:256" ht="18" customHeight="1" x14ac:dyDescent="0.25">
      <c r="A67" s="799"/>
      <c r="B67" s="53"/>
      <c r="C67" s="53"/>
      <c r="D67" s="799"/>
      <c r="E67" s="117"/>
      <c r="F67" s="117"/>
      <c r="G67" s="117"/>
      <c r="H67" s="117"/>
      <c r="I67" s="117"/>
      <c r="J67" s="117"/>
      <c r="K67" s="117"/>
      <c r="L67" s="298"/>
      <c r="M67" s="117"/>
      <c r="N67" s="117"/>
      <c r="O67" s="117"/>
      <c r="P67" s="1232" t="s">
        <v>326</v>
      </c>
      <c r="Q67" s="1232"/>
      <c r="R67" s="1232"/>
      <c r="S67" s="1232"/>
      <c r="T67" s="1232"/>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c r="EU67" s="27"/>
      <c r="EV67" s="27"/>
      <c r="EW67" s="27"/>
      <c r="EX67" s="27"/>
      <c r="EY67" s="27"/>
      <c r="EZ67" s="27"/>
      <c r="FA67" s="27"/>
      <c r="FB67" s="27"/>
      <c r="FC67" s="27"/>
      <c r="FD67" s="27"/>
      <c r="FE67" s="27"/>
      <c r="FF67" s="27"/>
      <c r="FG67" s="27"/>
      <c r="FH67" s="27"/>
      <c r="FI67" s="27"/>
      <c r="FJ67" s="27"/>
      <c r="FK67" s="27"/>
      <c r="FL67" s="27"/>
      <c r="FM67" s="27"/>
      <c r="FN67" s="27"/>
      <c r="FO67" s="27"/>
      <c r="FP67" s="27"/>
      <c r="FQ67" s="27"/>
      <c r="FR67" s="27"/>
      <c r="FS67" s="27"/>
      <c r="FT67" s="27"/>
      <c r="FU67" s="27"/>
      <c r="FV67" s="27"/>
      <c r="FW67" s="27"/>
      <c r="FX67" s="27"/>
      <c r="FY67" s="27"/>
      <c r="FZ67" s="27"/>
      <c r="GA67" s="27"/>
      <c r="GB67" s="27"/>
      <c r="GC67" s="27"/>
      <c r="GD67" s="27"/>
      <c r="GE67" s="27"/>
      <c r="GF67" s="27"/>
      <c r="GG67" s="27"/>
      <c r="GH67" s="27"/>
      <c r="GI67" s="27"/>
      <c r="GJ67" s="27"/>
      <c r="GK67" s="27"/>
      <c r="GL67" s="27"/>
      <c r="GM67" s="27"/>
      <c r="GN67" s="27"/>
      <c r="GO67" s="27"/>
      <c r="GP67" s="27"/>
      <c r="GQ67" s="27"/>
      <c r="GR67" s="27"/>
      <c r="GS67" s="27"/>
      <c r="GT67" s="27"/>
      <c r="GU67" s="27"/>
      <c r="GV67" s="27"/>
      <c r="GW67" s="27"/>
      <c r="GX67" s="27"/>
      <c r="GY67" s="27"/>
      <c r="GZ67" s="27"/>
      <c r="HA67" s="27"/>
      <c r="HB67" s="27"/>
      <c r="HC67" s="27"/>
      <c r="HD67" s="27"/>
      <c r="HE67" s="27"/>
      <c r="HF67" s="27"/>
      <c r="HG67" s="27"/>
      <c r="HH67" s="27"/>
      <c r="HI67" s="27"/>
      <c r="HJ67" s="27"/>
      <c r="HK67" s="27"/>
      <c r="HL67" s="27"/>
      <c r="HM67" s="27"/>
      <c r="HN67" s="27"/>
      <c r="HO67" s="27"/>
      <c r="HP67" s="27"/>
      <c r="HQ67" s="27"/>
      <c r="HR67" s="27"/>
      <c r="HS67" s="27"/>
      <c r="HT67" s="27"/>
      <c r="HU67" s="27"/>
      <c r="HV67" s="27"/>
      <c r="HW67" s="27"/>
      <c r="HX67" s="27"/>
      <c r="HY67" s="27"/>
      <c r="HZ67" s="27"/>
      <c r="IA67" s="27"/>
      <c r="IB67" s="27"/>
      <c r="IC67" s="27"/>
      <c r="ID67" s="27"/>
      <c r="IE67" s="27"/>
      <c r="IF67" s="27"/>
      <c r="IG67" s="27"/>
      <c r="IH67" s="27"/>
      <c r="II67" s="27"/>
      <c r="IJ67" s="27"/>
      <c r="IK67" s="27"/>
      <c r="IL67" s="27"/>
      <c r="IM67" s="27"/>
      <c r="IN67" s="27"/>
      <c r="IO67" s="27"/>
      <c r="IP67" s="27"/>
      <c r="IQ67" s="27"/>
      <c r="IR67" s="27"/>
      <c r="IS67" s="27"/>
      <c r="IT67" s="27"/>
      <c r="IU67" s="27"/>
      <c r="IV67" s="27"/>
    </row>
    <row r="68" spans="1:256" ht="18" customHeight="1" x14ac:dyDescent="0.25">
      <c r="A68" s="1226" t="s">
        <v>1455</v>
      </c>
      <c r="B68" s="1226"/>
      <c r="C68" s="1226"/>
      <c r="D68" s="1226"/>
      <c r="E68" s="1226"/>
      <c r="F68" s="1226"/>
      <c r="G68" s="1226"/>
      <c r="H68" s="1226"/>
      <c r="I68" s="1226"/>
      <c r="J68" s="1226"/>
      <c r="K68" s="1226"/>
      <c r="L68" s="1226"/>
      <c r="M68" s="1226"/>
      <c r="N68" s="1226"/>
      <c r="O68" s="117"/>
      <c r="P68" s="1226" t="s">
        <v>1302</v>
      </c>
      <c r="Q68" s="1226"/>
      <c r="R68" s="1226"/>
      <c r="S68" s="1226"/>
      <c r="T68" s="1226"/>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c r="FH68" s="27"/>
      <c r="FI68" s="27"/>
      <c r="FJ68" s="27"/>
      <c r="FK68" s="27"/>
      <c r="FL68" s="27"/>
      <c r="FM68" s="27"/>
      <c r="FN68" s="27"/>
      <c r="FO68" s="27"/>
      <c r="FP68" s="27"/>
      <c r="FQ68" s="27"/>
      <c r="FR68" s="27"/>
      <c r="FS68" s="27"/>
      <c r="FT68" s="27"/>
      <c r="FU68" s="27"/>
      <c r="FV68" s="27"/>
      <c r="FW68" s="27"/>
      <c r="FX68" s="27"/>
      <c r="FY68" s="27"/>
      <c r="FZ68" s="27"/>
      <c r="GA68" s="27"/>
      <c r="GB68" s="27"/>
      <c r="GC68" s="27"/>
      <c r="GD68" s="27"/>
      <c r="GE68" s="27"/>
      <c r="GF68" s="27"/>
      <c r="GG68" s="27"/>
      <c r="GH68" s="27"/>
      <c r="GI68" s="27"/>
      <c r="GJ68" s="27"/>
      <c r="GK68" s="27"/>
      <c r="GL68" s="27"/>
      <c r="GM68" s="27"/>
      <c r="GN68" s="27"/>
      <c r="GO68" s="27"/>
      <c r="GP68" s="27"/>
      <c r="GQ68" s="27"/>
      <c r="GR68" s="27"/>
      <c r="GS68" s="27"/>
      <c r="GT68" s="27"/>
      <c r="GU68" s="27"/>
      <c r="GV68" s="27"/>
      <c r="GW68" s="27"/>
      <c r="GX68" s="27"/>
      <c r="GY68" s="27"/>
      <c r="GZ68" s="27"/>
      <c r="HA68" s="27"/>
      <c r="HB68" s="27"/>
      <c r="HC68" s="27"/>
      <c r="HD68" s="27"/>
      <c r="HE68" s="27"/>
      <c r="HF68" s="27"/>
      <c r="HG68" s="27"/>
      <c r="HH68" s="27"/>
      <c r="HI68" s="27"/>
      <c r="HJ68" s="27"/>
      <c r="HK68" s="27"/>
      <c r="HL68" s="27"/>
      <c r="HM68" s="27"/>
      <c r="HN68" s="27"/>
      <c r="HO68" s="27"/>
      <c r="HP68" s="27"/>
      <c r="HQ68" s="27"/>
      <c r="HR68" s="27"/>
      <c r="HS68" s="27"/>
      <c r="HT68" s="27"/>
      <c r="HU68" s="27"/>
      <c r="HV68" s="27"/>
      <c r="HW68" s="27"/>
      <c r="HX68" s="27"/>
      <c r="HY68" s="27"/>
      <c r="HZ68" s="27"/>
      <c r="IA68" s="27"/>
      <c r="IB68" s="27"/>
      <c r="IC68" s="27"/>
      <c r="ID68" s="27"/>
      <c r="IE68" s="27"/>
      <c r="IF68" s="27"/>
      <c r="IG68" s="27"/>
      <c r="IH68" s="27"/>
      <c r="II68" s="27"/>
      <c r="IJ68" s="27"/>
      <c r="IK68" s="27"/>
      <c r="IL68" s="27"/>
      <c r="IM68" s="27"/>
      <c r="IN68" s="27"/>
      <c r="IO68" s="27"/>
      <c r="IP68" s="27"/>
      <c r="IQ68" s="27"/>
      <c r="IR68" s="27"/>
      <c r="IS68" s="27"/>
      <c r="IT68" s="27"/>
      <c r="IU68" s="27"/>
      <c r="IV68" s="27"/>
    </row>
    <row r="69" spans="1:256" ht="18" customHeight="1" x14ac:dyDescent="0.25">
      <c r="A69" s="1298" t="s">
        <v>1134</v>
      </c>
      <c r="B69" s="1298"/>
      <c r="C69" s="1298"/>
      <c r="D69" s="1298"/>
      <c r="E69" s="1298"/>
      <c r="F69" s="1298"/>
      <c r="G69" s="1298"/>
      <c r="H69" s="1298"/>
      <c r="I69" s="1298"/>
      <c r="J69" s="1298"/>
      <c r="K69" s="1298"/>
      <c r="L69" s="1298"/>
      <c r="M69" s="1298"/>
      <c r="N69" s="1298"/>
      <c r="O69" s="117"/>
      <c r="P69" s="1226" t="s">
        <v>86</v>
      </c>
      <c r="Q69" s="1226"/>
      <c r="R69" s="1226"/>
      <c r="S69" s="1226"/>
      <c r="T69" s="1226"/>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c r="GB69" s="27"/>
      <c r="GC69" s="27"/>
      <c r="GD69" s="27"/>
      <c r="GE69" s="27"/>
      <c r="GF69" s="27"/>
      <c r="GG69" s="27"/>
      <c r="GH69" s="27"/>
      <c r="GI69" s="27"/>
      <c r="GJ69" s="27"/>
      <c r="GK69" s="27"/>
      <c r="GL69" s="27"/>
      <c r="GM69" s="27"/>
      <c r="GN69" s="27"/>
      <c r="GO69" s="27"/>
      <c r="GP69" s="27"/>
      <c r="GQ69" s="27"/>
      <c r="GR69" s="27"/>
      <c r="GS69" s="27"/>
      <c r="GT69" s="27"/>
      <c r="GU69" s="27"/>
      <c r="GV69" s="27"/>
      <c r="GW69" s="27"/>
      <c r="GX69" s="27"/>
      <c r="GY69" s="27"/>
      <c r="GZ69" s="27"/>
      <c r="HA69" s="27"/>
      <c r="HB69" s="27"/>
      <c r="HC69" s="27"/>
      <c r="HD69" s="27"/>
      <c r="HE69" s="27"/>
      <c r="HF69" s="27"/>
      <c r="HG69" s="27"/>
      <c r="HH69" s="27"/>
      <c r="HI69" s="27"/>
      <c r="HJ69" s="27"/>
      <c r="HK69" s="27"/>
      <c r="HL69" s="27"/>
      <c r="HM69" s="27"/>
      <c r="HN69" s="27"/>
      <c r="HO69" s="27"/>
      <c r="HP69" s="27"/>
      <c r="HQ69" s="27"/>
      <c r="HR69" s="27"/>
      <c r="HS69" s="27"/>
      <c r="HT69" s="27"/>
      <c r="HU69" s="27"/>
      <c r="HV69" s="27"/>
      <c r="HW69" s="27"/>
      <c r="HX69" s="27"/>
      <c r="HY69" s="27"/>
      <c r="HZ69" s="27"/>
      <c r="IA69" s="27"/>
      <c r="IB69" s="27"/>
      <c r="IC69" s="27"/>
      <c r="ID69" s="27"/>
      <c r="IE69" s="27"/>
      <c r="IF69" s="27"/>
      <c r="IG69" s="27"/>
      <c r="IH69" s="27"/>
      <c r="II69" s="27"/>
      <c r="IJ69" s="27"/>
      <c r="IK69" s="27"/>
      <c r="IL69" s="27"/>
      <c r="IM69" s="27"/>
      <c r="IN69" s="27"/>
      <c r="IO69" s="27"/>
      <c r="IP69" s="27"/>
      <c r="IQ69" s="27"/>
      <c r="IR69" s="27"/>
      <c r="IS69" s="27"/>
      <c r="IT69" s="27"/>
      <c r="IU69" s="27"/>
      <c r="IV69" s="27"/>
    </row>
    <row r="70" spans="1:256" ht="18" customHeight="1" x14ac:dyDescent="0.25">
      <c r="A70" s="454"/>
      <c r="B70" s="53"/>
      <c r="C70" s="53"/>
      <c r="D70" s="799"/>
      <c r="E70" s="117"/>
      <c r="F70" s="117"/>
      <c r="G70" s="117"/>
      <c r="H70" s="117"/>
      <c r="I70" s="117"/>
      <c r="J70" s="117"/>
      <c r="K70" s="117"/>
      <c r="L70" s="454"/>
      <c r="M70" s="117"/>
      <c r="N70" s="117"/>
      <c r="O70" s="117"/>
      <c r="P70" s="1298" t="s">
        <v>950</v>
      </c>
      <c r="Q70" s="1298"/>
      <c r="R70" s="1298"/>
      <c r="S70" s="1298"/>
      <c r="T70" s="1298"/>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c r="GH70" s="27"/>
      <c r="GI70" s="27"/>
      <c r="GJ70" s="27"/>
      <c r="GK70" s="27"/>
      <c r="GL70" s="27"/>
      <c r="GM70" s="27"/>
      <c r="GN70" s="27"/>
      <c r="GO70" s="27"/>
      <c r="GP70" s="27"/>
      <c r="GQ70" s="27"/>
      <c r="GR70" s="27"/>
      <c r="GS70" s="27"/>
      <c r="GT70" s="27"/>
      <c r="GU70" s="27"/>
      <c r="GV70" s="27"/>
      <c r="GW70" s="27"/>
      <c r="GX70" s="27"/>
      <c r="GY70" s="27"/>
      <c r="GZ70" s="27"/>
      <c r="HA70" s="27"/>
      <c r="HB70" s="27"/>
      <c r="HC70" s="27"/>
      <c r="HD70" s="27"/>
      <c r="HE70" s="27"/>
      <c r="HF70" s="27"/>
      <c r="HG70" s="27"/>
      <c r="HH70" s="27"/>
      <c r="HI70" s="27"/>
      <c r="HJ70" s="27"/>
      <c r="HK70" s="27"/>
      <c r="HL70" s="27"/>
      <c r="HM70" s="27"/>
      <c r="HN70" s="27"/>
      <c r="HO70" s="27"/>
      <c r="HP70" s="27"/>
      <c r="HQ70" s="27"/>
      <c r="HR70" s="27"/>
      <c r="HS70" s="27"/>
      <c r="HT70" s="27"/>
      <c r="HU70" s="27"/>
      <c r="HV70" s="27"/>
      <c r="HW70" s="27"/>
      <c r="HX70" s="27"/>
      <c r="HY70" s="27"/>
      <c r="HZ70" s="27"/>
      <c r="IA70" s="27"/>
      <c r="IB70" s="27"/>
      <c r="IC70" s="27"/>
      <c r="ID70" s="27"/>
      <c r="IE70" s="27"/>
      <c r="IF70" s="27"/>
      <c r="IG70" s="27"/>
      <c r="IH70" s="27"/>
      <c r="II70" s="27"/>
      <c r="IJ70" s="27"/>
      <c r="IK70" s="27"/>
      <c r="IL70" s="27"/>
      <c r="IM70" s="27"/>
      <c r="IN70" s="27"/>
      <c r="IO70" s="27"/>
      <c r="IP70" s="27"/>
      <c r="IQ70" s="27"/>
      <c r="IR70" s="27"/>
      <c r="IS70" s="27"/>
      <c r="IT70" s="27"/>
      <c r="IU70" s="27"/>
      <c r="IV70" s="27"/>
    </row>
    <row r="71" spans="1:256" ht="16.5" customHeight="1" x14ac:dyDescent="0.25">
      <c r="A71" s="799"/>
      <c r="B71" s="53"/>
      <c r="C71" s="53"/>
      <c r="D71" s="799"/>
      <c r="E71" s="117"/>
      <c r="F71" s="117"/>
      <c r="G71" s="117"/>
      <c r="H71" s="117"/>
      <c r="I71" s="117"/>
      <c r="J71" s="117"/>
      <c r="K71" s="117"/>
      <c r="L71" s="117"/>
      <c r="M71" s="117"/>
      <c r="N71" s="117"/>
      <c r="O71" s="117"/>
      <c r="P71" s="117"/>
      <c r="Q71" s="117"/>
      <c r="R71" s="117"/>
      <c r="S71" s="117"/>
      <c r="T71" s="53"/>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c r="GH71" s="27"/>
      <c r="GI71" s="27"/>
      <c r="GJ71" s="27"/>
      <c r="GK71" s="27"/>
      <c r="GL71" s="27"/>
      <c r="GM71" s="27"/>
      <c r="GN71" s="27"/>
      <c r="GO71" s="27"/>
      <c r="GP71" s="27"/>
      <c r="GQ71" s="27"/>
      <c r="GR71" s="27"/>
      <c r="GS71" s="27"/>
      <c r="GT71" s="27"/>
      <c r="GU71" s="27"/>
      <c r="GV71" s="27"/>
      <c r="GW71" s="27"/>
      <c r="GX71" s="27"/>
      <c r="GY71" s="27"/>
      <c r="GZ71" s="27"/>
      <c r="HA71" s="27"/>
      <c r="HB71" s="27"/>
      <c r="HC71" s="27"/>
      <c r="HD71" s="27"/>
      <c r="HE71" s="27"/>
      <c r="HF71" s="27"/>
      <c r="HG71" s="27"/>
      <c r="HH71" s="27"/>
      <c r="HI71" s="27"/>
      <c r="HJ71" s="27"/>
      <c r="HK71" s="27"/>
      <c r="HL71" s="27"/>
      <c r="HM71" s="27"/>
      <c r="HN71" s="27"/>
      <c r="HO71" s="27"/>
      <c r="HP71" s="27"/>
      <c r="HQ71" s="27"/>
      <c r="HR71" s="27"/>
      <c r="HS71" s="27"/>
      <c r="HT71" s="27"/>
      <c r="HU71" s="27"/>
      <c r="HV71" s="27"/>
      <c r="HW71" s="27"/>
      <c r="HX71" s="27"/>
      <c r="HY71" s="27"/>
      <c r="HZ71" s="27"/>
      <c r="IA71" s="27"/>
      <c r="IB71" s="27"/>
      <c r="IC71" s="27"/>
      <c r="ID71" s="27"/>
      <c r="IE71" s="27"/>
      <c r="IF71" s="27"/>
      <c r="IG71" s="27"/>
      <c r="IH71" s="27"/>
      <c r="II71" s="27"/>
      <c r="IJ71" s="27"/>
      <c r="IK71" s="27"/>
      <c r="IL71" s="27"/>
      <c r="IM71" s="27"/>
      <c r="IN71" s="27"/>
      <c r="IO71" s="27"/>
      <c r="IP71" s="27"/>
      <c r="IQ71" s="27"/>
      <c r="IR71" s="27"/>
      <c r="IS71" s="27"/>
      <c r="IT71" s="27"/>
      <c r="IU71" s="27"/>
      <c r="IV71" s="27"/>
    </row>
  </sheetData>
  <mergeCells count="59">
    <mergeCell ref="A6:T6"/>
    <mergeCell ref="A7:T7"/>
    <mergeCell ref="A8:T8"/>
    <mergeCell ref="A9:T9"/>
    <mergeCell ref="A1:T1"/>
    <mergeCell ref="A2:T2"/>
    <mergeCell ref="A3:T3"/>
    <mergeCell ref="A4:T4"/>
    <mergeCell ref="A5:T5"/>
    <mergeCell ref="A10:T10"/>
    <mergeCell ref="A11:T11"/>
    <mergeCell ref="A12:T12"/>
    <mergeCell ref="A14:A16"/>
    <mergeCell ref="B14:B16"/>
    <mergeCell ref="C14:C16"/>
    <mergeCell ref="D14:D16"/>
    <mergeCell ref="E14:E16"/>
    <mergeCell ref="F14:F16"/>
    <mergeCell ref="R14:R16"/>
    <mergeCell ref="A13:T13"/>
    <mergeCell ref="M14:M16"/>
    <mergeCell ref="T14:T16"/>
    <mergeCell ref="K15:K16"/>
    <mergeCell ref="L15:L16"/>
    <mergeCell ref="A48:T48"/>
    <mergeCell ref="G14:G16"/>
    <mergeCell ref="H14:H16"/>
    <mergeCell ref="I14:I16"/>
    <mergeCell ref="J14:J16"/>
    <mergeCell ref="K14:L14"/>
    <mergeCell ref="N14:N16"/>
    <mergeCell ref="O14:O16"/>
    <mergeCell ref="P14:P16"/>
    <mergeCell ref="Q14:Q16"/>
    <mergeCell ref="S14:S16"/>
    <mergeCell ref="A49:T49"/>
    <mergeCell ref="A62:T62"/>
    <mergeCell ref="A51:T51"/>
    <mergeCell ref="A52:T52"/>
    <mergeCell ref="A53:T53"/>
    <mergeCell ref="A54:T54"/>
    <mergeCell ref="A55:T55"/>
    <mergeCell ref="A56:T56"/>
    <mergeCell ref="A57:T57"/>
    <mergeCell ref="A58:T58"/>
    <mergeCell ref="A59:T59"/>
    <mergeCell ref="A60:T60"/>
    <mergeCell ref="A61:T61"/>
    <mergeCell ref="A50:T50"/>
    <mergeCell ref="A69:N69"/>
    <mergeCell ref="P69:T69"/>
    <mergeCell ref="P70:T70"/>
    <mergeCell ref="A63:T63"/>
    <mergeCell ref="A64:T64"/>
    <mergeCell ref="A65:T65"/>
    <mergeCell ref="A66:T66"/>
    <mergeCell ref="P67:T67"/>
    <mergeCell ref="A68:N68"/>
    <mergeCell ref="P68:T68"/>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R53"/>
  <sheetViews>
    <sheetView showZeros="0" workbookViewId="0">
      <selection sqref="A1:T1"/>
    </sheetView>
  </sheetViews>
  <sheetFormatPr defaultRowHeight="15" x14ac:dyDescent="0.25"/>
  <cols>
    <col min="1" max="1" width="5.85546875" customWidth="1"/>
    <col min="2" max="2" width="11.85546875" customWidth="1"/>
    <col min="3" max="3" width="60.85546875" customWidth="1"/>
    <col min="4" max="4" width="7.85546875" customWidth="1"/>
    <col min="5" max="9" width="9.85546875" customWidth="1"/>
    <col min="10" max="11" width="11.85546875" customWidth="1"/>
    <col min="12" max="16" width="13.85546875" customWidth="1"/>
    <col min="17" max="17" width="11.85546875" customWidth="1"/>
    <col min="18" max="18" width="9.42578125" customWidth="1"/>
  </cols>
  <sheetData>
    <row r="1" spans="1:18" ht="55.15" customHeight="1" x14ac:dyDescent="0.3">
      <c r="A1" s="869"/>
      <c r="B1" s="869"/>
      <c r="C1" s="869"/>
      <c r="D1" s="869"/>
      <c r="E1" s="869"/>
      <c r="F1" s="869"/>
      <c r="G1" s="869"/>
      <c r="H1" s="869"/>
      <c r="I1" s="869"/>
      <c r="J1" s="869"/>
      <c r="K1" s="869"/>
      <c r="L1" s="869"/>
      <c r="M1" s="869"/>
      <c r="N1" s="869"/>
      <c r="O1" s="869"/>
      <c r="P1" s="1316" t="s">
        <v>530</v>
      </c>
      <c r="Q1" s="1316"/>
      <c r="R1" s="626"/>
    </row>
    <row r="2" spans="1:18" ht="17.649999999999999" customHeight="1" x14ac:dyDescent="0.3">
      <c r="A2" s="1321" t="s">
        <v>30</v>
      </c>
      <c r="B2" s="1322"/>
      <c r="C2" s="1322"/>
      <c r="D2" s="1322"/>
      <c r="E2" s="1322"/>
      <c r="F2" s="1322"/>
      <c r="G2" s="1322"/>
      <c r="H2" s="1322"/>
      <c r="I2" s="1322"/>
      <c r="J2" s="1322"/>
      <c r="K2" s="1322"/>
      <c r="L2" s="1322"/>
      <c r="M2" s="1322"/>
      <c r="N2" s="1322"/>
      <c r="O2" s="1322"/>
      <c r="P2" s="1322"/>
      <c r="Q2" s="1322"/>
      <c r="R2" s="160"/>
    </row>
    <row r="3" spans="1:18" ht="15.4" customHeight="1" x14ac:dyDescent="0.25">
      <c r="A3" s="1317" t="s">
        <v>1309</v>
      </c>
      <c r="B3" s="1322"/>
      <c r="C3" s="1322"/>
      <c r="D3" s="1322"/>
      <c r="E3" s="1322"/>
      <c r="F3" s="1322"/>
      <c r="G3" s="1322"/>
      <c r="H3" s="1322"/>
      <c r="I3" s="1322"/>
      <c r="J3" s="1322"/>
      <c r="K3" s="1322"/>
      <c r="L3" s="1322"/>
      <c r="M3" s="1322"/>
      <c r="N3" s="1322"/>
      <c r="O3" s="1322"/>
      <c r="P3" s="1322"/>
      <c r="Q3" s="1322"/>
      <c r="R3" s="160"/>
    </row>
    <row r="4" spans="1:18" ht="15.4" customHeight="1" x14ac:dyDescent="0.25">
      <c r="A4" s="1317" t="s">
        <v>184</v>
      </c>
      <c r="B4" s="1317"/>
      <c r="C4" s="1317"/>
      <c r="D4" s="1317"/>
      <c r="E4" s="1317"/>
      <c r="F4" s="1317"/>
      <c r="G4" s="1317"/>
      <c r="H4" s="1317"/>
      <c r="I4" s="1317"/>
      <c r="J4" s="1317"/>
      <c r="K4" s="1317"/>
      <c r="L4" s="1317"/>
      <c r="M4" s="1317"/>
      <c r="N4" s="1317"/>
      <c r="O4" s="1317"/>
      <c r="P4" s="1317"/>
      <c r="Q4" s="1317"/>
      <c r="R4" s="160"/>
    </row>
    <row r="5" spans="1:18" ht="14.45" customHeight="1" x14ac:dyDescent="0.25">
      <c r="A5" s="625" t="s">
        <v>1151</v>
      </c>
      <c r="B5" s="245"/>
      <c r="C5" s="245"/>
      <c r="D5" s="245"/>
      <c r="E5" s="245"/>
      <c r="F5" s="245"/>
      <c r="G5" s="245"/>
      <c r="H5" s="245"/>
      <c r="I5" s="245"/>
      <c r="J5" s="245"/>
      <c r="K5" s="245"/>
      <c r="L5" s="245"/>
      <c r="M5" s="245"/>
      <c r="N5" s="245"/>
      <c r="O5" s="245"/>
      <c r="P5" s="245"/>
      <c r="Q5" s="245"/>
      <c r="R5" s="160"/>
    </row>
    <row r="6" spans="1:18" ht="14.45" customHeight="1" x14ac:dyDescent="0.25">
      <c r="A6" s="625" t="s">
        <v>1162</v>
      </c>
      <c r="B6" s="245"/>
      <c r="C6" s="245"/>
      <c r="D6" s="245"/>
      <c r="E6" s="245"/>
      <c r="F6" s="245"/>
      <c r="G6" s="245"/>
      <c r="H6" s="245"/>
      <c r="I6" s="245"/>
      <c r="J6" s="245"/>
      <c r="K6" s="245"/>
      <c r="L6" s="245"/>
      <c r="M6" s="245"/>
      <c r="N6" s="245"/>
      <c r="O6" s="245"/>
      <c r="P6" s="245"/>
      <c r="Q6" s="245"/>
      <c r="R6" s="160"/>
    </row>
    <row r="7" spans="1:18" ht="14.45" customHeight="1" x14ac:dyDescent="0.25">
      <c r="A7" s="625" t="s">
        <v>1225</v>
      </c>
      <c r="B7" s="245"/>
      <c r="C7" s="245"/>
      <c r="D7" s="625" t="s">
        <v>773</v>
      </c>
      <c r="E7" s="245"/>
      <c r="F7" s="245"/>
      <c r="G7" s="245"/>
      <c r="H7" s="245"/>
      <c r="I7" s="245"/>
      <c r="J7" s="245"/>
      <c r="K7" s="245"/>
      <c r="L7" s="245"/>
      <c r="M7" s="245"/>
      <c r="N7" s="245"/>
      <c r="O7" s="245"/>
      <c r="P7" s="245"/>
      <c r="Q7" s="245"/>
      <c r="R7" s="160"/>
    </row>
    <row r="8" spans="1:18" ht="14.45" customHeight="1" x14ac:dyDescent="0.25">
      <c r="A8" s="625" t="s">
        <v>1347</v>
      </c>
      <c r="B8" s="245"/>
      <c r="C8" s="245"/>
      <c r="D8" s="245"/>
      <c r="E8" s="245"/>
      <c r="F8" s="245"/>
      <c r="G8" s="245"/>
      <c r="H8" s="245"/>
      <c r="I8" s="245"/>
      <c r="J8" s="245"/>
      <c r="K8" s="245"/>
      <c r="L8" s="245"/>
      <c r="M8" s="245"/>
      <c r="N8" s="245"/>
      <c r="O8" s="245"/>
      <c r="P8" s="245"/>
      <c r="Q8" s="245"/>
      <c r="R8" s="160"/>
    </row>
    <row r="9" spans="1:18" ht="14.45" customHeight="1" x14ac:dyDescent="0.25">
      <c r="A9" s="625" t="s">
        <v>584</v>
      </c>
      <c r="B9" s="245"/>
      <c r="C9" s="245"/>
      <c r="D9" s="245"/>
      <c r="E9" s="245"/>
      <c r="F9" s="245"/>
      <c r="G9" s="245"/>
      <c r="H9" s="245"/>
      <c r="I9" s="245"/>
      <c r="J9" s="245"/>
      <c r="K9" s="245"/>
      <c r="L9" s="245"/>
      <c r="M9" s="245"/>
      <c r="N9" s="245"/>
      <c r="O9" s="245"/>
      <c r="P9" s="245"/>
      <c r="Q9" s="245"/>
      <c r="R9" s="160"/>
    </row>
    <row r="10" spans="1:18" ht="14.45" customHeight="1" x14ac:dyDescent="0.25">
      <c r="A10" s="625" t="s">
        <v>1410</v>
      </c>
      <c r="B10" s="245"/>
      <c r="C10" s="245"/>
      <c r="D10" s="245"/>
      <c r="E10" s="245"/>
      <c r="F10" s="245"/>
      <c r="G10" s="245"/>
      <c r="H10" s="245"/>
      <c r="I10" s="245"/>
      <c r="J10" s="245"/>
      <c r="K10" s="245"/>
      <c r="L10" s="245"/>
      <c r="M10" s="245"/>
      <c r="N10" s="245"/>
      <c r="O10" s="245"/>
      <c r="P10" s="245"/>
      <c r="Q10" s="245"/>
      <c r="R10" s="160"/>
    </row>
    <row r="11" spans="1:18" ht="14.45" customHeight="1" x14ac:dyDescent="0.25">
      <c r="A11" s="625" t="s">
        <v>696</v>
      </c>
      <c r="B11" s="245"/>
      <c r="C11" s="245"/>
      <c r="D11" s="245"/>
      <c r="E11" s="245"/>
      <c r="F11" s="245"/>
      <c r="G11" s="245"/>
      <c r="H11" s="245"/>
      <c r="I11" s="245"/>
      <c r="J11" s="245"/>
      <c r="K11" s="245"/>
      <c r="L11" s="245"/>
      <c r="M11" s="245"/>
      <c r="N11" s="245"/>
      <c r="O11" s="245"/>
      <c r="P11" s="245"/>
      <c r="Q11" s="245"/>
      <c r="R11" s="160"/>
    </row>
    <row r="12" spans="1:18" ht="14.45" customHeight="1" x14ac:dyDescent="0.25">
      <c r="A12" s="625" t="s">
        <v>777</v>
      </c>
      <c r="B12" s="245"/>
      <c r="C12" s="245"/>
      <c r="D12" s="245"/>
      <c r="E12" s="245"/>
      <c r="F12" s="245"/>
      <c r="G12" s="245"/>
      <c r="H12" s="245"/>
      <c r="I12" s="245"/>
      <c r="J12" s="245"/>
      <c r="K12" s="245"/>
      <c r="L12" s="245"/>
      <c r="M12" s="245"/>
      <c r="N12" s="245"/>
      <c r="O12" s="245"/>
      <c r="P12" s="245"/>
      <c r="Q12" s="245"/>
      <c r="R12" s="160"/>
    </row>
    <row r="13" spans="1:18" ht="14.45" customHeight="1" x14ac:dyDescent="0.25">
      <c r="A13" s="245"/>
      <c r="B13" s="245"/>
      <c r="C13" s="245"/>
      <c r="D13" s="245"/>
      <c r="E13" s="245"/>
      <c r="F13" s="245"/>
      <c r="G13" s="245"/>
      <c r="H13" s="245"/>
      <c r="I13" s="245"/>
      <c r="J13" s="245"/>
      <c r="K13" s="245"/>
      <c r="L13" s="245"/>
      <c r="M13" s="245"/>
      <c r="N13" s="245"/>
      <c r="O13" s="245"/>
      <c r="P13" s="245"/>
      <c r="Q13" s="245"/>
      <c r="R13" s="160"/>
    </row>
    <row r="14" spans="1:18" ht="14.25" customHeight="1" x14ac:dyDescent="0.25">
      <c r="A14" s="1318" t="s">
        <v>1323</v>
      </c>
      <c r="B14" s="1323" t="s">
        <v>873</v>
      </c>
      <c r="C14" s="1318" t="s">
        <v>1462</v>
      </c>
      <c r="D14" s="1318" t="s">
        <v>60</v>
      </c>
      <c r="E14" s="1318" t="s">
        <v>207</v>
      </c>
      <c r="F14" s="1318"/>
      <c r="G14" s="1320"/>
      <c r="H14" s="1320"/>
      <c r="I14" s="1320"/>
      <c r="J14" s="1318" t="s">
        <v>692</v>
      </c>
      <c r="K14" s="1320"/>
      <c r="L14" s="1318" t="s">
        <v>438</v>
      </c>
      <c r="M14" s="1318"/>
      <c r="N14" s="1320"/>
      <c r="O14" s="1320"/>
      <c r="P14" s="1320"/>
      <c r="Q14" s="1318" t="s">
        <v>1056</v>
      </c>
      <c r="R14" s="160"/>
    </row>
    <row r="15" spans="1:18" ht="16.5" customHeight="1" x14ac:dyDescent="0.25">
      <c r="A15" s="1320"/>
      <c r="B15" s="1320"/>
      <c r="C15" s="1320"/>
      <c r="D15" s="1320"/>
      <c r="E15" s="1318" t="s">
        <v>287</v>
      </c>
      <c r="F15" s="1318"/>
      <c r="G15" s="1318" t="s">
        <v>1170</v>
      </c>
      <c r="H15" s="1320"/>
      <c r="I15" s="197"/>
      <c r="J15" s="1318" t="s">
        <v>692</v>
      </c>
      <c r="K15" s="1318" t="s">
        <v>48</v>
      </c>
      <c r="L15" s="1319" t="s">
        <v>287</v>
      </c>
      <c r="M15" s="1319"/>
      <c r="N15" s="1318" t="s">
        <v>1170</v>
      </c>
      <c r="O15" s="1320"/>
      <c r="P15" s="1320"/>
      <c r="Q15" s="1320"/>
      <c r="R15" s="160"/>
    </row>
    <row r="16" spans="1:18" ht="78" customHeight="1" x14ac:dyDescent="0.25">
      <c r="A16" s="1320"/>
      <c r="B16" s="1320"/>
      <c r="C16" s="1320"/>
      <c r="D16" s="1320"/>
      <c r="E16" s="187" t="s">
        <v>1243</v>
      </c>
      <c r="F16" s="187" t="s">
        <v>966</v>
      </c>
      <c r="G16" s="723" t="s">
        <v>951</v>
      </c>
      <c r="H16" s="723" t="s">
        <v>0</v>
      </c>
      <c r="I16" s="723" t="s">
        <v>417</v>
      </c>
      <c r="J16" s="1320"/>
      <c r="K16" s="1320"/>
      <c r="L16" s="723" t="s">
        <v>1243</v>
      </c>
      <c r="M16" s="187" t="s">
        <v>94</v>
      </c>
      <c r="N16" s="723" t="s">
        <v>951</v>
      </c>
      <c r="O16" s="723" t="s">
        <v>0</v>
      </c>
      <c r="P16" s="723" t="s">
        <v>417</v>
      </c>
      <c r="Q16" s="1320"/>
      <c r="R16" s="160"/>
    </row>
    <row r="17" spans="1:18" ht="14.45" customHeight="1" x14ac:dyDescent="0.25">
      <c r="A17" s="39"/>
      <c r="B17" s="201"/>
      <c r="C17" s="704"/>
      <c r="D17" s="39"/>
      <c r="E17" s="873"/>
      <c r="F17" s="873"/>
      <c r="G17" s="873"/>
      <c r="H17" s="873"/>
      <c r="I17" s="873"/>
      <c r="J17" s="203"/>
      <c r="K17" s="203"/>
      <c r="L17" s="203"/>
      <c r="M17" s="203"/>
      <c r="N17" s="203"/>
      <c r="O17" s="203"/>
      <c r="P17" s="203"/>
      <c r="Q17" s="873"/>
      <c r="R17" s="160"/>
    </row>
    <row r="18" spans="1:18" ht="14.1" customHeight="1" x14ac:dyDescent="0.25">
      <c r="A18" s="479">
        <v>0</v>
      </c>
      <c r="B18" s="417" t="s">
        <v>242</v>
      </c>
      <c r="C18" s="417" t="s">
        <v>1282</v>
      </c>
      <c r="D18" s="479"/>
      <c r="E18" s="460"/>
      <c r="F18" s="460"/>
      <c r="G18" s="460"/>
      <c r="H18" s="460"/>
      <c r="I18" s="375"/>
      <c r="J18" s="375"/>
      <c r="K18" s="375"/>
      <c r="L18" s="375"/>
      <c r="M18" s="375"/>
      <c r="N18" s="375"/>
      <c r="O18" s="375"/>
      <c r="P18" s="417"/>
      <c r="Q18" s="417"/>
    </row>
    <row r="19" spans="1:18" ht="14.1" customHeight="1" x14ac:dyDescent="0.25">
      <c r="A19" s="458">
        <v>1</v>
      </c>
      <c r="B19" s="396" t="str">
        <f>'Tiên lượng'!C8</f>
        <v>SA.12112</v>
      </c>
      <c r="C19" s="396" t="str">
        <f>'Tiên lượng'!D8</f>
        <v>Phá dỡ kết cấu bê tông không cốt thép bằng búa căn. (Bê tông mặt đường cũ)</v>
      </c>
      <c r="D19" s="458" t="str">
        <f>'Tiên lượng'!E8</f>
        <v>m3</v>
      </c>
      <c r="E19" s="263">
        <f>'Tiên lượng'!M8</f>
        <v>40.799999999999997</v>
      </c>
      <c r="F19" s="263"/>
      <c r="G19" s="263"/>
      <c r="H19" s="263"/>
      <c r="I19" s="168"/>
      <c r="J19" s="168">
        <f>'Chiết tính'!J21</f>
        <v>380225.94964056002</v>
      </c>
      <c r="K19" s="168"/>
      <c r="L19" s="168">
        <f t="shared" ref="L19:L40" si="0">E19*J19</f>
        <v>15513218.745334847</v>
      </c>
      <c r="M19" s="168"/>
      <c r="N19" s="168">
        <f t="shared" ref="N19:N40" si="1">F19*J19</f>
        <v>0</v>
      </c>
      <c r="O19" s="168">
        <f t="shared" ref="O19:O40" si="2">G19*J19</f>
        <v>0</v>
      </c>
      <c r="P19" s="396">
        <f t="shared" ref="P19:P40" si="3">H19*J19</f>
        <v>0</v>
      </c>
      <c r="Q19" s="396"/>
    </row>
    <row r="20" spans="1:18" ht="14.1" customHeight="1" x14ac:dyDescent="0.25">
      <c r="A20" s="458">
        <v>2</v>
      </c>
      <c r="B20" s="396" t="str">
        <f>'Tiên lượng'!C10</f>
        <v>AB.55321</v>
      </c>
      <c r="C20" s="396" t="str">
        <f>'Tiên lượng'!D10</f>
        <v>Xúc đá tảng, cục bê tông lên phương tiện vận chuyển bằng máy đào 3,6m3, ĐK 0,4÷1m</v>
      </c>
      <c r="D20" s="458" t="str">
        <f>'Tiên lượng'!E10</f>
        <v>100m3</v>
      </c>
      <c r="E20" s="263">
        <f>'Tiên lượng'!M10</f>
        <v>0.53039999999999998</v>
      </c>
      <c r="F20" s="263"/>
      <c r="G20" s="263"/>
      <c r="H20" s="263"/>
      <c r="I20" s="168"/>
      <c r="J20" s="168">
        <f>'Chiết tính'!J36</f>
        <v>10704800.601168251</v>
      </c>
      <c r="K20" s="168"/>
      <c r="L20" s="168">
        <f t="shared" si="0"/>
        <v>5677826.2388596395</v>
      </c>
      <c r="M20" s="168"/>
      <c r="N20" s="168">
        <f t="shared" si="1"/>
        <v>0</v>
      </c>
      <c r="O20" s="168">
        <f t="shared" si="2"/>
        <v>0</v>
      </c>
      <c r="P20" s="396">
        <f t="shared" si="3"/>
        <v>0</v>
      </c>
      <c r="Q20" s="396"/>
    </row>
    <row r="21" spans="1:18" ht="14.1" customHeight="1" x14ac:dyDescent="0.25">
      <c r="A21" s="458">
        <v>3</v>
      </c>
      <c r="B21" s="396" t="str">
        <f>'Tiên lượng'!C12</f>
        <v>AB.56412</v>
      </c>
      <c r="C21" s="396" t="str">
        <f>'Tiên lượng'!D12</f>
        <v>Vận chuyển đá tảng, cục bê tông, ĐK 0,4÷1m, ô tô tự đổ 12T trong phạm vi ≤1000m</v>
      </c>
      <c r="D21" s="458" t="str">
        <f>'Tiên lượng'!E12</f>
        <v>100m3</v>
      </c>
      <c r="E21" s="263">
        <f>'Tiên lượng'!M12</f>
        <v>0.53039999999999998</v>
      </c>
      <c r="F21" s="263"/>
      <c r="G21" s="263"/>
      <c r="H21" s="263"/>
      <c r="I21" s="168"/>
      <c r="J21" s="168">
        <f>'Chiết tính'!J50</f>
        <v>9259963.9998075645</v>
      </c>
      <c r="K21" s="168"/>
      <c r="L21" s="168">
        <f t="shared" si="0"/>
        <v>4911484.9054979319</v>
      </c>
      <c r="M21" s="168"/>
      <c r="N21" s="168">
        <f t="shared" si="1"/>
        <v>0</v>
      </c>
      <c r="O21" s="168">
        <f t="shared" si="2"/>
        <v>0</v>
      </c>
      <c r="P21" s="396">
        <f t="shared" si="3"/>
        <v>0</v>
      </c>
      <c r="Q21" s="396"/>
    </row>
    <row r="22" spans="1:18" ht="14.1" customHeight="1" x14ac:dyDescent="0.25">
      <c r="A22" s="458">
        <v>4</v>
      </c>
      <c r="B22" s="396" t="str">
        <f>'Tiên lượng'!C13</f>
        <v>TT</v>
      </c>
      <c r="C22" s="396" t="str">
        <f>'Tiên lượng'!D13</f>
        <v>Đào xúc đất sạt lở ta luy đồi xuống đường bằng máy xúc đào 0,4m3</v>
      </c>
      <c r="D22" s="458" t="str">
        <f>'Tiên lượng'!E13</f>
        <v>ca</v>
      </c>
      <c r="E22" s="263">
        <f>'Tiên lượng'!M13</f>
        <v>2</v>
      </c>
      <c r="F22" s="263"/>
      <c r="G22" s="263"/>
      <c r="H22" s="263"/>
      <c r="I22" s="168"/>
      <c r="J22" s="168">
        <f>'Chiết tính'!J65</f>
        <v>4004052.48</v>
      </c>
      <c r="K22" s="168"/>
      <c r="L22" s="168">
        <f t="shared" si="0"/>
        <v>8008104.96</v>
      </c>
      <c r="M22" s="168"/>
      <c r="N22" s="168">
        <f t="shared" si="1"/>
        <v>0</v>
      </c>
      <c r="O22" s="168">
        <f t="shared" si="2"/>
        <v>0</v>
      </c>
      <c r="P22" s="396">
        <f t="shared" si="3"/>
        <v>0</v>
      </c>
      <c r="Q22" s="396"/>
    </row>
    <row r="23" spans="1:18" ht="14.1" customHeight="1" x14ac:dyDescent="0.25">
      <c r="A23" s="458">
        <v>5</v>
      </c>
      <c r="B23" s="396" t="str">
        <f>'Tiên lượng'!C14</f>
        <v>TT</v>
      </c>
      <c r="C23" s="396" t="str">
        <f>'Tiên lượng'!D14</f>
        <v>vận chuyển đất sạt lở ta luy đồi bằng ô tô</v>
      </c>
      <c r="D23" s="458" t="str">
        <f>'Tiên lượng'!E14</f>
        <v>ca</v>
      </c>
      <c r="E23" s="263">
        <f>'Tiên lượng'!M14</f>
        <v>2</v>
      </c>
      <c r="F23" s="263"/>
      <c r="G23" s="263"/>
      <c r="H23" s="263"/>
      <c r="I23" s="168"/>
      <c r="J23" s="168">
        <f>'Chiết tính'!J80</f>
        <v>2502532.7999999998</v>
      </c>
      <c r="K23" s="168"/>
      <c r="L23" s="168">
        <f t="shared" si="0"/>
        <v>5005065.5999999996</v>
      </c>
      <c r="M23" s="168"/>
      <c r="N23" s="168">
        <f t="shared" si="1"/>
        <v>0</v>
      </c>
      <c r="O23" s="168">
        <f t="shared" si="2"/>
        <v>0</v>
      </c>
      <c r="P23" s="396">
        <f t="shared" si="3"/>
        <v>0</v>
      </c>
      <c r="Q23" s="396"/>
    </row>
    <row r="24" spans="1:18" ht="14.1" customHeight="1" x14ac:dyDescent="0.25">
      <c r="A24" s="458">
        <v>6</v>
      </c>
      <c r="B24" s="396" t="str">
        <f>'Tiên lượng'!C15</f>
        <v>AB.31113</v>
      </c>
      <c r="C24" s="396" t="str">
        <f>'Tiên lượng'!D15</f>
        <v>Đào nền đường bằng máy đào 0,4m3 - Cấp đất III (Bổ sung TT09/2024). Đào hạ nền đường trung bình 50cm, dài 50m</v>
      </c>
      <c r="D24" s="458" t="str">
        <f>'Tiên lượng'!E15</f>
        <v>100m3</v>
      </c>
      <c r="E24" s="263">
        <f>'Tiên lượng'!M15</f>
        <v>0.875</v>
      </c>
      <c r="F24" s="263"/>
      <c r="G24" s="263"/>
      <c r="H24" s="263"/>
      <c r="I24" s="168"/>
      <c r="J24" s="168">
        <f>'Chiết tính'!J95</f>
        <v>8197109.8508344321</v>
      </c>
      <c r="K24" s="168"/>
      <c r="L24" s="168">
        <f t="shared" si="0"/>
        <v>7172471.1194801284</v>
      </c>
      <c r="M24" s="168"/>
      <c r="N24" s="168">
        <f t="shared" si="1"/>
        <v>0</v>
      </c>
      <c r="O24" s="168">
        <f t="shared" si="2"/>
        <v>0</v>
      </c>
      <c r="P24" s="396">
        <f t="shared" si="3"/>
        <v>0</v>
      </c>
      <c r="Q24" s="396"/>
    </row>
    <row r="25" spans="1:18" ht="14.1" customHeight="1" x14ac:dyDescent="0.25">
      <c r="A25" s="458">
        <v>7</v>
      </c>
      <c r="B25" s="396" t="str">
        <f>'Tiên lượng'!C17</f>
        <v>AB.41123.VD</v>
      </c>
      <c r="C25" s="396" t="str">
        <f>'Tiên lượng'!D17</f>
        <v>Vận chuyển đất bằng ô tô tự đổ 7T, phạm vi ≤300m - Cấp đất III</v>
      </c>
      <c r="D25" s="458" t="str">
        <f>'Tiên lượng'!E17</f>
        <v>ca</v>
      </c>
      <c r="E25" s="263">
        <f>'Tiên lượng'!M17</f>
        <v>1</v>
      </c>
      <c r="F25" s="263"/>
      <c r="G25" s="263"/>
      <c r="H25" s="263"/>
      <c r="I25" s="168"/>
      <c r="J25" s="168">
        <f>'Chiết tính'!J109</f>
        <v>2502532.7999999998</v>
      </c>
      <c r="K25" s="168"/>
      <c r="L25" s="168">
        <f t="shared" si="0"/>
        <v>2502532.7999999998</v>
      </c>
      <c r="M25" s="168"/>
      <c r="N25" s="168">
        <f t="shared" si="1"/>
        <v>0</v>
      </c>
      <c r="O25" s="168">
        <f t="shared" si="2"/>
        <v>0</v>
      </c>
      <c r="P25" s="396">
        <f t="shared" si="3"/>
        <v>0</v>
      </c>
      <c r="Q25" s="396"/>
    </row>
    <row r="26" spans="1:18" ht="14.1" customHeight="1" x14ac:dyDescent="0.25">
      <c r="A26" s="458">
        <v>8</v>
      </c>
      <c r="B26" s="396" t="str">
        <f>'Tiên lượng'!C18</f>
        <v>AD.11212.VD</v>
      </c>
      <c r="C26" s="396" t="str">
        <f>'Tiên lượng'!D18</f>
        <v>Bù vênh mặt đường bằng Đá dăm cấp phối loại II (Subbase)</v>
      </c>
      <c r="D26" s="458" t="str">
        <f>'Tiên lượng'!E18</f>
        <v>100m3</v>
      </c>
      <c r="E26" s="263">
        <f>'Tiên lượng'!M18</f>
        <v>0.5</v>
      </c>
      <c r="F26" s="263"/>
      <c r="G26" s="263"/>
      <c r="H26" s="263"/>
      <c r="I26" s="168"/>
      <c r="J26" s="168">
        <f>'Chiết tính'!J127</f>
        <v>69011418.714301124</v>
      </c>
      <c r="K26" s="168"/>
      <c r="L26" s="168">
        <f t="shared" si="0"/>
        <v>34505709.357150562</v>
      </c>
      <c r="M26" s="168"/>
      <c r="N26" s="168">
        <f t="shared" si="1"/>
        <v>0</v>
      </c>
      <c r="O26" s="168">
        <f t="shared" si="2"/>
        <v>0</v>
      </c>
      <c r="P26" s="396">
        <f t="shared" si="3"/>
        <v>0</v>
      </c>
      <c r="Q26" s="396"/>
    </row>
    <row r="27" spans="1:18" ht="14.1" customHeight="1" x14ac:dyDescent="0.25">
      <c r="A27" s="458">
        <v>9</v>
      </c>
      <c r="B27" s="396" t="str">
        <f>'Tiên lượng'!C20</f>
        <v>AD.11222.VD</v>
      </c>
      <c r="C27" s="396" t="str">
        <f>'Tiên lượng'!D20</f>
        <v>Thi công lớp đệm móng bằng đá mạt. chiều dài 150m</v>
      </c>
      <c r="D27" s="458" t="str">
        <f>'Tiên lượng'!E20</f>
        <v>100m3</v>
      </c>
      <c r="E27" s="263">
        <f>'Tiên lượng'!M20</f>
        <v>0.16649999999999998</v>
      </c>
      <c r="F27" s="263"/>
      <c r="G27" s="263"/>
      <c r="H27" s="263"/>
      <c r="I27" s="168"/>
      <c r="J27" s="168">
        <f>'Chiết tính'!J142</f>
        <v>68021777.244737417</v>
      </c>
      <c r="K27" s="168"/>
      <c r="L27" s="168">
        <f t="shared" si="0"/>
        <v>11325625.911248779</v>
      </c>
      <c r="M27" s="168"/>
      <c r="N27" s="168">
        <f t="shared" si="1"/>
        <v>0</v>
      </c>
      <c r="O27" s="168">
        <f t="shared" si="2"/>
        <v>0</v>
      </c>
      <c r="P27" s="396">
        <f t="shared" si="3"/>
        <v>0</v>
      </c>
      <c r="Q27" s="396"/>
    </row>
    <row r="28" spans="1:18" ht="14.1" customHeight="1" x14ac:dyDescent="0.25">
      <c r="A28" s="458">
        <v>10</v>
      </c>
      <c r="B28" s="396" t="str">
        <f>'Tiên lượng'!C22</f>
        <v>TT.00001</v>
      </c>
      <c r="C28" s="396" t="str">
        <f>'Tiên lượng'!D22</f>
        <v xml:space="preserve">San gạt tạo phẳng nền đường bằng máy San </v>
      </c>
      <c r="D28" s="458" t="str">
        <f>'Tiên lượng'!E22</f>
        <v>ca</v>
      </c>
      <c r="E28" s="263">
        <f>'Tiên lượng'!M22</f>
        <v>1</v>
      </c>
      <c r="F28" s="263"/>
      <c r="G28" s="263"/>
      <c r="H28" s="263"/>
      <c r="I28" s="168"/>
      <c r="J28" s="168">
        <f>'Chiết tính'!J157</f>
        <v>6256332</v>
      </c>
      <c r="K28" s="168"/>
      <c r="L28" s="168">
        <f t="shared" si="0"/>
        <v>6256332</v>
      </c>
      <c r="M28" s="168"/>
      <c r="N28" s="168">
        <f t="shared" si="1"/>
        <v>0</v>
      </c>
      <c r="O28" s="168">
        <f t="shared" si="2"/>
        <v>0</v>
      </c>
      <c r="P28" s="396">
        <f t="shared" si="3"/>
        <v>0</v>
      </c>
      <c r="Q28" s="396"/>
    </row>
    <row r="29" spans="1:18" ht="14.1" customHeight="1" x14ac:dyDescent="0.25">
      <c r="A29" s="458">
        <v>11</v>
      </c>
      <c r="B29" s="396" t="str">
        <f>'Tiên lượng'!C23</f>
        <v>TT</v>
      </c>
      <c r="C29" s="396" t="str">
        <f>'Tiên lượng'!D23</f>
        <v>Công tác đào rãnh, hố ga để đặt cống thoát nước đầu tuyến bằng thủ công</v>
      </c>
      <c r="D29" s="458" t="str">
        <f>'Tiên lượng'!E23</f>
        <v>công</v>
      </c>
      <c r="E29" s="263">
        <f>'Tiên lượng'!M23</f>
        <v>4</v>
      </c>
      <c r="F29" s="263"/>
      <c r="G29" s="263"/>
      <c r="H29" s="263"/>
      <c r="I29" s="168"/>
      <c r="J29" s="168">
        <f>'Chiết tính'!J172</f>
        <v>563069.88</v>
      </c>
      <c r="K29" s="168"/>
      <c r="L29" s="168">
        <f t="shared" si="0"/>
        <v>2252279.52</v>
      </c>
      <c r="M29" s="168"/>
      <c r="N29" s="168">
        <f t="shared" si="1"/>
        <v>0</v>
      </c>
      <c r="O29" s="168">
        <f t="shared" si="2"/>
        <v>0</v>
      </c>
      <c r="P29" s="396">
        <f t="shared" si="3"/>
        <v>0</v>
      </c>
      <c r="Q29" s="396"/>
    </row>
    <row r="30" spans="1:18" ht="14.1" customHeight="1" x14ac:dyDescent="0.25">
      <c r="A30" s="458">
        <v>12</v>
      </c>
      <c r="B30" s="396" t="str">
        <f>'Tiên lượng'!C24</f>
        <v>BB.11211</v>
      </c>
      <c r="C30" s="396" t="str">
        <f>'Tiên lượng'!D24</f>
        <v>Lắp đặt ống bê tông bằng cần cẩu, đoạn ống dài 1m - Đường kính ≤600mm</v>
      </c>
      <c r="D30" s="458" t="str">
        <f>'Tiên lượng'!E24</f>
        <v>1 đoạn ống</v>
      </c>
      <c r="E30" s="263">
        <f>'Tiên lượng'!M24</f>
        <v>5</v>
      </c>
      <c r="F30" s="263"/>
      <c r="G30" s="263"/>
      <c r="H30" s="263"/>
      <c r="I30" s="168"/>
      <c r="J30" s="168">
        <f>'Chiết tính'!J190</f>
        <v>1481577.578956689</v>
      </c>
      <c r="K30" s="168"/>
      <c r="L30" s="168">
        <f t="shared" si="0"/>
        <v>7407887.8947834447</v>
      </c>
      <c r="M30" s="168"/>
      <c r="N30" s="168">
        <f t="shared" si="1"/>
        <v>0</v>
      </c>
      <c r="O30" s="168">
        <f t="shared" si="2"/>
        <v>0</v>
      </c>
      <c r="P30" s="396">
        <f t="shared" si="3"/>
        <v>0</v>
      </c>
      <c r="Q30" s="396"/>
    </row>
    <row r="31" spans="1:18" ht="14.1" customHeight="1" x14ac:dyDescent="0.25">
      <c r="A31" s="458">
        <v>13</v>
      </c>
      <c r="B31" s="396" t="str">
        <f>'Tiên lượng'!C25</f>
        <v>TT</v>
      </c>
      <c r="C31" s="396" t="str">
        <f>'Tiên lượng'!D25</f>
        <v>Thi công hố ga 2 đầu cống</v>
      </c>
      <c r="D31" s="458" t="str">
        <f>'Tiên lượng'!E25</f>
        <v>cái</v>
      </c>
      <c r="E31" s="263">
        <f>'Tiên lượng'!M25</f>
        <v>2</v>
      </c>
      <c r="F31" s="263"/>
      <c r="G31" s="263"/>
      <c r="H31" s="263"/>
      <c r="I31" s="168"/>
      <c r="J31" s="168">
        <f>'Chiết tính'!J206</f>
        <v>2502532.7999999998</v>
      </c>
      <c r="K31" s="168"/>
      <c r="L31" s="168">
        <f t="shared" si="0"/>
        <v>5005065.5999999996</v>
      </c>
      <c r="M31" s="168"/>
      <c r="N31" s="168">
        <f t="shared" si="1"/>
        <v>0</v>
      </c>
      <c r="O31" s="168">
        <f t="shared" si="2"/>
        <v>0</v>
      </c>
      <c r="P31" s="396">
        <f t="shared" si="3"/>
        <v>0</v>
      </c>
      <c r="Q31" s="396"/>
    </row>
    <row r="32" spans="1:18" ht="14.1" customHeight="1" x14ac:dyDescent="0.25">
      <c r="A32" s="458">
        <v>14</v>
      </c>
      <c r="B32" s="396" t="str">
        <f>'Tiên lượng'!C27</f>
        <v>AL.16201</v>
      </c>
      <c r="C32" s="396" t="str">
        <f>'Tiên lượng'!D27</f>
        <v>Rải giấy ni long lớp cách ly</v>
      </c>
      <c r="D32" s="458" t="str">
        <f>'Tiên lượng'!E27</f>
        <v>100m2</v>
      </c>
      <c r="E32" s="263">
        <f>'Tiên lượng'!M27</f>
        <v>18.594999999999999</v>
      </c>
      <c r="F32" s="263"/>
      <c r="G32" s="263"/>
      <c r="H32" s="263"/>
      <c r="I32" s="168"/>
      <c r="J32" s="168">
        <f>'Chiết tính'!J222</f>
        <v>602334.61963199999</v>
      </c>
      <c r="K32" s="168"/>
      <c r="L32" s="168">
        <f t="shared" si="0"/>
        <v>11200412.252057038</v>
      </c>
      <c r="M32" s="168"/>
      <c r="N32" s="168">
        <f t="shared" si="1"/>
        <v>0</v>
      </c>
      <c r="O32" s="168">
        <f t="shared" si="2"/>
        <v>0</v>
      </c>
      <c r="P32" s="396">
        <f t="shared" si="3"/>
        <v>0</v>
      </c>
      <c r="Q32" s="396"/>
    </row>
    <row r="33" spans="1:18" ht="14.1" customHeight="1" x14ac:dyDescent="0.25">
      <c r="A33" s="458">
        <v>15</v>
      </c>
      <c r="B33" s="396" t="str">
        <f>'Tiên lượng'!C30</f>
        <v>AF.82411</v>
      </c>
      <c r="C33" s="396" t="str">
        <f>'Tiên lượng'!D30</f>
        <v>Ván khuôn thép mặt đường bê tông</v>
      </c>
      <c r="D33" s="458" t="str">
        <f>'Tiên lượng'!E30</f>
        <v>100m2</v>
      </c>
      <c r="E33" s="263">
        <f>'Tiên lượng'!M30</f>
        <v>2.0680000000000001</v>
      </c>
      <c r="F33" s="263"/>
      <c r="G33" s="263"/>
      <c r="H33" s="263"/>
      <c r="I33" s="168"/>
      <c r="J33" s="168">
        <f>'Chiết tính'!J241</f>
        <v>5175138.9463067772</v>
      </c>
      <c r="K33" s="168"/>
      <c r="L33" s="168">
        <f t="shared" si="0"/>
        <v>10702187.340962416</v>
      </c>
      <c r="M33" s="168"/>
      <c r="N33" s="168">
        <f t="shared" si="1"/>
        <v>0</v>
      </c>
      <c r="O33" s="168">
        <f t="shared" si="2"/>
        <v>0</v>
      </c>
      <c r="P33" s="396">
        <f t="shared" si="3"/>
        <v>0</v>
      </c>
      <c r="Q33" s="396"/>
    </row>
    <row r="34" spans="1:18" ht="14.1" customHeight="1" x14ac:dyDescent="0.25">
      <c r="A34" s="458">
        <v>16</v>
      </c>
      <c r="B34" s="396" t="str">
        <f>'Tiên lượng'!C32</f>
        <v>AF.15434A</v>
      </c>
      <c r="C34" s="396" t="str">
        <f>'Tiên lượng'!D32</f>
        <v>Bê tông sản xuất bằng máy trộn và đổ bằng thủ công, bê tông mặt đường dày mặt đường ≤25cm, bê tông M250, đá 2x4, PCB30</v>
      </c>
      <c r="D34" s="458" t="str">
        <f>'Tiên lượng'!E32</f>
        <v>m3</v>
      </c>
      <c r="E34" s="263">
        <f>'Tiên lượng'!M32</f>
        <v>371.90000000000003</v>
      </c>
      <c r="F34" s="263"/>
      <c r="G34" s="263"/>
      <c r="H34" s="263"/>
      <c r="I34" s="168"/>
      <c r="J34" s="168">
        <f>'Chiết tính'!J266</f>
        <v>2525582.2940861685</v>
      </c>
      <c r="K34" s="168"/>
      <c r="L34" s="168">
        <f t="shared" si="0"/>
        <v>939264055.17064619</v>
      </c>
      <c r="M34" s="168"/>
      <c r="N34" s="168">
        <f t="shared" si="1"/>
        <v>0</v>
      </c>
      <c r="O34" s="168">
        <f t="shared" si="2"/>
        <v>0</v>
      </c>
      <c r="P34" s="396">
        <f t="shared" si="3"/>
        <v>0</v>
      </c>
      <c r="Q34" s="396"/>
    </row>
    <row r="35" spans="1:18" ht="14.1" customHeight="1" x14ac:dyDescent="0.25">
      <c r="A35" s="458">
        <v>17</v>
      </c>
      <c r="B35" s="396" t="str">
        <f>'Tiên lượng'!C35</f>
        <v>AL.22111</v>
      </c>
      <c r="C35" s="396" t="str">
        <f>'Tiên lượng'!D35</f>
        <v>Cắt khe co, dãn mặt đường BTXM ( 5m cắt 1 mạch)</v>
      </c>
      <c r="D35" s="458" t="str">
        <f>'Tiên lượng'!E35</f>
        <v>10m</v>
      </c>
      <c r="E35" s="263">
        <f>'Tiên lượng'!M35</f>
        <v>36.190000000000005</v>
      </c>
      <c r="F35" s="263"/>
      <c r="G35" s="263"/>
      <c r="H35" s="263"/>
      <c r="I35" s="168"/>
      <c r="J35" s="168">
        <f>'Chiết tính'!J283</f>
        <v>281988.82437393599</v>
      </c>
      <c r="K35" s="168"/>
      <c r="L35" s="168">
        <f t="shared" si="0"/>
        <v>10205175.554092744</v>
      </c>
      <c r="M35" s="168"/>
      <c r="N35" s="168">
        <f t="shared" si="1"/>
        <v>0</v>
      </c>
      <c r="O35" s="168">
        <f t="shared" si="2"/>
        <v>0</v>
      </c>
      <c r="P35" s="396">
        <f t="shared" si="3"/>
        <v>0</v>
      </c>
      <c r="Q35" s="396"/>
    </row>
    <row r="36" spans="1:18" ht="14.1" customHeight="1" x14ac:dyDescent="0.25">
      <c r="A36" s="458">
        <v>18</v>
      </c>
      <c r="B36" s="396" t="str">
        <f>'Tiên lượng'!C37</f>
        <v>TT</v>
      </c>
      <c r="C36" s="396" t="str">
        <f>'Tiên lượng'!D37</f>
        <v>Công tác đánh bóng mặt đường bằng máy</v>
      </c>
      <c r="D36" s="458" t="str">
        <f>'Tiên lượng'!E37</f>
        <v>m2</v>
      </c>
      <c r="E36" s="263">
        <f>'Tiên lượng'!M37</f>
        <v>1859.5</v>
      </c>
      <c r="F36" s="263"/>
      <c r="G36" s="263"/>
      <c r="H36" s="263"/>
      <c r="I36" s="168"/>
      <c r="J36" s="168">
        <f>'Chiết tính'!J299</f>
        <v>21271.5288</v>
      </c>
      <c r="K36" s="168"/>
      <c r="L36" s="168">
        <f t="shared" si="0"/>
        <v>39554407.803599998</v>
      </c>
      <c r="M36" s="168"/>
      <c r="N36" s="168">
        <f t="shared" si="1"/>
        <v>0</v>
      </c>
      <c r="O36" s="168">
        <f t="shared" si="2"/>
        <v>0</v>
      </c>
      <c r="P36" s="396">
        <f t="shared" si="3"/>
        <v>0</v>
      </c>
      <c r="Q36" s="396"/>
    </row>
    <row r="37" spans="1:18" ht="14.1" customHeight="1" x14ac:dyDescent="0.25">
      <c r="A37" s="458">
        <v>19</v>
      </c>
      <c r="B37" s="396" t="str">
        <f>'Tiên lượng'!C40</f>
        <v>AB.27103</v>
      </c>
      <c r="C37" s="396" t="str">
        <f>'Tiên lượng'!D40</f>
        <v>Đào kênh mương, chiều rộng kênh mương ≤6m bằng máy đào 0,4m3 - Cấp đất III</v>
      </c>
      <c r="D37" s="458" t="str">
        <f>'Tiên lượng'!E40</f>
        <v>100m3</v>
      </c>
      <c r="E37" s="263">
        <f>'Tiên lượng'!M40</f>
        <v>0.41360000000000008</v>
      </c>
      <c r="F37" s="263"/>
      <c r="G37" s="263"/>
      <c r="H37" s="263"/>
      <c r="I37" s="168"/>
      <c r="J37" s="168">
        <f>'Chiết tính'!J314</f>
        <v>4923337.4083363675</v>
      </c>
      <c r="K37" s="168"/>
      <c r="L37" s="168">
        <f t="shared" si="0"/>
        <v>2036292.3520879219</v>
      </c>
      <c r="M37" s="168"/>
      <c r="N37" s="168">
        <f t="shared" si="1"/>
        <v>0</v>
      </c>
      <c r="O37" s="168">
        <f t="shared" si="2"/>
        <v>0</v>
      </c>
      <c r="P37" s="396">
        <f t="shared" si="3"/>
        <v>0</v>
      </c>
      <c r="Q37" s="396"/>
    </row>
    <row r="38" spans="1:18" ht="14.1" customHeight="1" x14ac:dyDescent="0.25">
      <c r="A38" s="458">
        <v>20</v>
      </c>
      <c r="B38" s="396" t="str">
        <f>'Tiên lượng'!C42</f>
        <v>AB.11503</v>
      </c>
      <c r="C38" s="396" t="str">
        <f>'Tiên lượng'!D42</f>
        <v>Đào kênh mương, rãnh thoát nước, đường ống, đường cáp bằng thủ công, rộng ≤1m, sâu ≤1m - Cấp đất III</v>
      </c>
      <c r="D38" s="458" t="str">
        <f>'Tiên lượng'!E42</f>
        <v>1m3</v>
      </c>
      <c r="E38" s="263">
        <f>'Tiên lượng'!M42</f>
        <v>17.13</v>
      </c>
      <c r="F38" s="263"/>
      <c r="G38" s="263"/>
      <c r="H38" s="263"/>
      <c r="I38" s="168"/>
      <c r="J38" s="168">
        <f>'Chiết tính'!J328</f>
        <v>463420.47537302406</v>
      </c>
      <c r="K38" s="168"/>
      <c r="L38" s="168">
        <f t="shared" si="0"/>
        <v>7938392.7431399021</v>
      </c>
      <c r="M38" s="168"/>
      <c r="N38" s="168">
        <f t="shared" si="1"/>
        <v>0</v>
      </c>
      <c r="O38" s="168">
        <f t="shared" si="2"/>
        <v>0</v>
      </c>
      <c r="P38" s="396">
        <f t="shared" si="3"/>
        <v>0</v>
      </c>
      <c r="Q38" s="396"/>
    </row>
    <row r="39" spans="1:18" ht="14.1" customHeight="1" x14ac:dyDescent="0.25">
      <c r="A39" s="458">
        <v>21</v>
      </c>
      <c r="B39" s="396" t="str">
        <f>'Tiên lượng'!C44</f>
        <v>TT</v>
      </c>
      <c r="C39" s="396" t="str">
        <f>'Tiên lượng'!D44</f>
        <v>Ô tô vận chuyển đất đi đổ</v>
      </c>
      <c r="D39" s="458" t="str">
        <f>'Tiên lượng'!E44</f>
        <v>ca</v>
      </c>
      <c r="E39" s="263">
        <f>'Tiên lượng'!M44</f>
        <v>1</v>
      </c>
      <c r="F39" s="263"/>
      <c r="G39" s="263"/>
      <c r="H39" s="263"/>
      <c r="I39" s="168"/>
      <c r="J39" s="168">
        <f>'Chiết tính'!J343</f>
        <v>2502532.7999999998</v>
      </c>
      <c r="K39" s="168"/>
      <c r="L39" s="168">
        <f t="shared" si="0"/>
        <v>2502532.7999999998</v>
      </c>
      <c r="M39" s="168"/>
      <c r="N39" s="168">
        <f t="shared" si="1"/>
        <v>0</v>
      </c>
      <c r="O39" s="168">
        <f t="shared" si="2"/>
        <v>0</v>
      </c>
      <c r="P39" s="396">
        <f t="shared" si="3"/>
        <v>0</v>
      </c>
      <c r="Q39" s="396"/>
    </row>
    <row r="40" spans="1:18" ht="14.45" customHeight="1" x14ac:dyDescent="0.25">
      <c r="A40" s="458">
        <v>22</v>
      </c>
      <c r="B40" s="396" t="str">
        <f>'Tiên lượng'!C45</f>
        <v>SF.11311.VD</v>
      </c>
      <c r="C40" s="396" t="str">
        <f>'Tiên lượng'!D45</f>
        <v>Đắp phụ nền, lề đường bằng Đá dăm cấp phối loại II (Subbase)</v>
      </c>
      <c r="D40" s="458" t="str">
        <f>'Tiên lượng'!E45</f>
        <v>m3</v>
      </c>
      <c r="E40" s="263">
        <f>'Tiên lượng'!M45</f>
        <v>113.74000000000001</v>
      </c>
      <c r="F40" s="263"/>
      <c r="G40" s="263"/>
      <c r="H40" s="263"/>
      <c r="I40" s="168"/>
      <c r="J40" s="168">
        <f>'Chiết tính'!J359</f>
        <v>844577.96312817931</v>
      </c>
      <c r="K40" s="168"/>
      <c r="L40" s="168">
        <f t="shared" si="0"/>
        <v>96062297.526199117</v>
      </c>
      <c r="M40" s="168"/>
      <c r="N40" s="168">
        <f t="shared" si="1"/>
        <v>0</v>
      </c>
      <c r="O40" s="168">
        <f t="shared" si="2"/>
        <v>0</v>
      </c>
      <c r="P40" s="396">
        <f t="shared" si="3"/>
        <v>0</v>
      </c>
      <c r="Q40" s="396"/>
    </row>
    <row r="41" spans="1:18" ht="14.45" customHeight="1" x14ac:dyDescent="0.25">
      <c r="A41" s="479"/>
      <c r="B41" s="417" t="s">
        <v>1217</v>
      </c>
      <c r="C41" s="417" t="s">
        <v>1197</v>
      </c>
      <c r="D41" s="479"/>
      <c r="E41" s="460"/>
      <c r="F41" s="460"/>
      <c r="G41" s="460"/>
      <c r="H41" s="460"/>
      <c r="I41" s="375"/>
      <c r="J41" s="375"/>
      <c r="K41" s="375"/>
      <c r="L41" s="375">
        <f t="shared" ref="L41:P41" si="4">SUM(L19:L40)</f>
        <v>1235009358.1951406</v>
      </c>
      <c r="M41" s="375">
        <f t="shared" si="4"/>
        <v>0</v>
      </c>
      <c r="N41" s="375">
        <f t="shared" si="4"/>
        <v>0</v>
      </c>
      <c r="O41" s="375">
        <f t="shared" si="4"/>
        <v>0</v>
      </c>
      <c r="P41" s="417">
        <f t="shared" si="4"/>
        <v>0</v>
      </c>
      <c r="Q41" s="417"/>
    </row>
    <row r="42" spans="1:18" ht="14.45" customHeight="1" x14ac:dyDescent="0.25">
      <c r="A42" s="625" t="s">
        <v>244</v>
      </c>
      <c r="B42" s="245"/>
      <c r="C42" s="245"/>
      <c r="D42" s="245"/>
      <c r="E42" s="245"/>
      <c r="F42" s="245"/>
      <c r="G42" s="245"/>
      <c r="H42" s="245"/>
      <c r="I42" s="245"/>
      <c r="J42" s="245"/>
      <c r="K42" s="245"/>
      <c r="L42" s="245"/>
      <c r="M42" s="245"/>
      <c r="N42" s="245"/>
      <c r="O42" s="245"/>
      <c r="P42" s="245"/>
      <c r="Q42" s="245"/>
      <c r="R42" s="160"/>
    </row>
    <row r="43" spans="1:18" ht="14.45" customHeight="1" x14ac:dyDescent="0.25">
      <c r="A43" s="625" t="s">
        <v>948</v>
      </c>
      <c r="B43" s="245"/>
      <c r="C43" s="245"/>
      <c r="D43" s="245"/>
      <c r="E43" s="245"/>
      <c r="F43" s="245"/>
      <c r="G43" s="245"/>
      <c r="H43" s="245"/>
      <c r="I43" s="245"/>
      <c r="J43" s="245"/>
      <c r="K43" s="245"/>
      <c r="L43" s="245"/>
      <c r="M43" s="245"/>
      <c r="N43" s="245"/>
      <c r="O43" s="245"/>
      <c r="P43" s="245"/>
      <c r="Q43" s="245"/>
      <c r="R43" s="160"/>
    </row>
    <row r="44" spans="1:18" ht="14.45" customHeight="1" x14ac:dyDescent="0.25">
      <c r="A44" s="625" t="s">
        <v>903</v>
      </c>
      <c r="B44" s="245"/>
      <c r="C44" s="245"/>
      <c r="D44" s="245"/>
      <c r="E44" s="245"/>
      <c r="F44" s="245"/>
      <c r="G44" s="245"/>
      <c r="H44" s="245"/>
      <c r="I44" s="245"/>
      <c r="J44" s="245"/>
      <c r="K44" s="245"/>
      <c r="L44" s="245"/>
      <c r="M44" s="245"/>
      <c r="N44" s="245"/>
      <c r="O44" s="245"/>
      <c r="P44" s="245"/>
      <c r="Q44" s="245"/>
      <c r="R44" s="160"/>
    </row>
    <row r="45" spans="1:18" ht="14.45" customHeight="1" x14ac:dyDescent="0.25">
      <c r="A45" s="625" t="s">
        <v>1190</v>
      </c>
      <c r="B45" s="245"/>
      <c r="C45" s="245"/>
      <c r="D45" s="245"/>
      <c r="E45" s="245"/>
      <c r="F45" s="245"/>
      <c r="G45" s="245"/>
      <c r="H45" s="245"/>
      <c r="I45" s="245"/>
      <c r="J45" s="245"/>
      <c r="K45" s="245"/>
      <c r="L45" s="245"/>
      <c r="M45" s="245"/>
      <c r="N45" s="245"/>
      <c r="O45" s="245"/>
      <c r="P45" s="245"/>
      <c r="Q45" s="245"/>
      <c r="R45" s="160"/>
    </row>
    <row r="46" spans="1:18" ht="14.45" customHeight="1" x14ac:dyDescent="0.25">
      <c r="A46" s="625" t="s">
        <v>961</v>
      </c>
      <c r="B46" s="245"/>
      <c r="C46" s="245"/>
      <c r="D46" s="245"/>
      <c r="E46" s="245"/>
      <c r="F46" s="245"/>
      <c r="G46" s="245"/>
      <c r="H46" s="245"/>
      <c r="I46" s="245"/>
      <c r="J46" s="245"/>
      <c r="K46" s="245"/>
      <c r="L46" s="245"/>
      <c r="M46" s="245"/>
      <c r="N46" s="245"/>
      <c r="O46" s="245"/>
      <c r="P46" s="245"/>
      <c r="Q46" s="245"/>
      <c r="R46" s="160"/>
    </row>
    <row r="47" spans="1:18" ht="14.45" customHeight="1" x14ac:dyDescent="0.25">
      <c r="A47" s="625" t="s">
        <v>130</v>
      </c>
      <c r="B47" s="245"/>
      <c r="C47" s="245"/>
      <c r="D47" s="245"/>
      <c r="E47" s="245"/>
      <c r="F47" s="245"/>
      <c r="G47" s="245"/>
      <c r="H47" s="245"/>
      <c r="I47" s="245"/>
      <c r="J47" s="245"/>
      <c r="K47" s="245"/>
      <c r="L47" s="245"/>
      <c r="M47" s="245"/>
      <c r="N47" s="245"/>
      <c r="O47" s="245"/>
      <c r="P47" s="245"/>
      <c r="Q47" s="245"/>
      <c r="R47" s="160"/>
    </row>
    <row r="48" spans="1:18" ht="14.45" customHeight="1" x14ac:dyDescent="0.25">
      <c r="A48" s="625" t="s">
        <v>721</v>
      </c>
      <c r="B48" s="245"/>
      <c r="C48" s="245"/>
      <c r="D48" s="245"/>
      <c r="E48" s="245"/>
      <c r="F48" s="245"/>
      <c r="G48" s="245"/>
      <c r="H48" s="245"/>
      <c r="I48" s="245"/>
      <c r="J48" s="245"/>
      <c r="K48" s="245"/>
      <c r="L48" s="245"/>
      <c r="M48" s="245"/>
      <c r="N48" s="245"/>
      <c r="O48" s="245"/>
      <c r="P48" s="245"/>
      <c r="Q48" s="245"/>
      <c r="R48" s="160"/>
    </row>
    <row r="49" spans="1:18" ht="14.45" customHeight="1" x14ac:dyDescent="0.25">
      <c r="A49" s="625" t="s">
        <v>1154</v>
      </c>
      <c r="B49" s="245"/>
      <c r="C49" s="245"/>
      <c r="D49" s="245"/>
      <c r="E49" s="245"/>
      <c r="F49" s="245"/>
      <c r="G49" s="245"/>
      <c r="H49" s="245"/>
      <c r="I49" s="245"/>
      <c r="J49" s="245"/>
      <c r="K49" s="245"/>
      <c r="L49" s="245"/>
      <c r="M49" s="245"/>
      <c r="N49" s="245"/>
      <c r="O49" s="245"/>
      <c r="P49" s="245"/>
      <c r="Q49" s="245"/>
      <c r="R49" s="160"/>
    </row>
    <row r="50" spans="1:18" ht="14.45" customHeight="1" x14ac:dyDescent="0.25">
      <c r="A50" s="245"/>
      <c r="B50" s="245"/>
      <c r="C50" s="245"/>
      <c r="D50" s="245"/>
      <c r="E50" s="245"/>
      <c r="F50" s="245"/>
      <c r="G50" s="245"/>
      <c r="H50" s="245"/>
      <c r="I50" s="245"/>
      <c r="J50" s="245"/>
      <c r="K50" s="245"/>
      <c r="L50" s="245"/>
      <c r="M50" s="245"/>
      <c r="N50" s="245"/>
      <c r="O50" s="245"/>
      <c r="P50" s="245"/>
      <c r="Q50" s="245"/>
      <c r="R50" s="160"/>
    </row>
    <row r="51" spans="1:18" ht="14.45" customHeight="1" x14ac:dyDescent="0.25">
      <c r="A51" s="245"/>
      <c r="B51" s="245"/>
      <c r="C51" s="245"/>
      <c r="D51" s="245"/>
      <c r="E51" s="245"/>
      <c r="F51" s="245"/>
      <c r="G51" s="245"/>
      <c r="H51" s="245"/>
      <c r="I51" s="245"/>
      <c r="J51" s="245"/>
      <c r="K51" s="245"/>
      <c r="L51" s="1325"/>
      <c r="M51" s="1325"/>
      <c r="N51" s="1322"/>
      <c r="O51" s="1322"/>
      <c r="P51" s="1322"/>
      <c r="Q51" s="1322"/>
      <c r="R51" s="160"/>
    </row>
    <row r="52" spans="1:18" ht="17.649999999999999" customHeight="1" x14ac:dyDescent="0.3">
      <c r="A52" s="1321" t="s">
        <v>1121</v>
      </c>
      <c r="B52" s="1322"/>
      <c r="C52" s="1322"/>
      <c r="D52" s="1112"/>
      <c r="E52" s="1322"/>
      <c r="F52" s="1322"/>
      <c r="G52" s="1322"/>
      <c r="H52" s="1322"/>
      <c r="I52" s="1322"/>
      <c r="J52" s="1322"/>
      <c r="K52" s="861"/>
      <c r="L52" s="1321" t="s">
        <v>1336</v>
      </c>
      <c r="M52" s="1321"/>
      <c r="N52" s="1322"/>
      <c r="O52" s="1322"/>
      <c r="P52" s="1322"/>
      <c r="Q52" s="1322"/>
      <c r="R52" s="160"/>
    </row>
    <row r="53" spans="1:18" ht="15.4" customHeight="1" x14ac:dyDescent="0.25">
      <c r="A53" s="1317" t="s">
        <v>694</v>
      </c>
      <c r="B53" s="1322"/>
      <c r="C53" s="1322"/>
      <c r="D53" s="1324"/>
      <c r="E53" s="1322"/>
      <c r="F53" s="1322"/>
      <c r="G53" s="1322"/>
      <c r="H53" s="1322"/>
      <c r="I53" s="1322"/>
      <c r="J53" s="1322"/>
      <c r="K53" s="95"/>
      <c r="L53" s="1317" t="s">
        <v>694</v>
      </c>
      <c r="M53" s="1317"/>
      <c r="N53" s="1322"/>
      <c r="O53" s="1322"/>
      <c r="P53" s="1322"/>
      <c r="Q53" s="1322"/>
      <c r="R53" s="160"/>
    </row>
  </sheetData>
  <mergeCells count="25">
    <mergeCell ref="A53:C53"/>
    <mergeCell ref="D53:J53"/>
    <mergeCell ref="L53:Q53"/>
    <mergeCell ref="G15:H15"/>
    <mergeCell ref="J15:J16"/>
    <mergeCell ref="C14:C16"/>
    <mergeCell ref="L51:Q51"/>
    <mergeCell ref="A52:C52"/>
    <mergeCell ref="D52:J52"/>
    <mergeCell ref="L52:Q52"/>
    <mergeCell ref="P1:Q1"/>
    <mergeCell ref="A4:Q4"/>
    <mergeCell ref="E15:F15"/>
    <mergeCell ref="L15:M15"/>
    <mergeCell ref="D14:D16"/>
    <mergeCell ref="E14:I14"/>
    <mergeCell ref="J14:K14"/>
    <mergeCell ref="L14:P14"/>
    <mergeCell ref="Q14:Q16"/>
    <mergeCell ref="A2:Q2"/>
    <mergeCell ref="A3:Q3"/>
    <mergeCell ref="K15:K16"/>
    <mergeCell ref="N15:P15"/>
    <mergeCell ref="A14:A16"/>
    <mergeCell ref="B14:B16"/>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O53"/>
  <sheetViews>
    <sheetView showGridLines="0" showZeros="0" topLeftCell="A37" workbookViewId="0">
      <selection activeCell="A18" sqref="A18:IV18"/>
    </sheetView>
  </sheetViews>
  <sheetFormatPr defaultRowHeight="15" x14ac:dyDescent="0.25"/>
  <cols>
    <col min="1" max="1" width="5.85546875" customWidth="1"/>
    <col min="2" max="2" width="11.85546875" customWidth="1"/>
    <col min="3" max="3" width="60.85546875" customWidth="1"/>
    <col min="4" max="4" width="7.85546875" customWidth="1"/>
    <col min="5" max="8" width="9.85546875" customWidth="1"/>
    <col min="9" max="10" width="11.85546875" customWidth="1"/>
    <col min="11" max="14" width="13.85546875" customWidth="1"/>
    <col min="15" max="15" width="11.85546875" customWidth="1"/>
  </cols>
  <sheetData>
    <row r="1" spans="1:15" ht="17.649999999999999" customHeight="1" x14ac:dyDescent="0.3">
      <c r="A1" s="869"/>
      <c r="B1" s="869"/>
      <c r="C1" s="869"/>
      <c r="D1" s="869"/>
      <c r="E1" s="869"/>
      <c r="F1" s="869"/>
      <c r="G1" s="869"/>
      <c r="H1" s="869"/>
      <c r="I1" s="869"/>
      <c r="J1" s="869"/>
      <c r="K1" s="869"/>
      <c r="L1" s="869"/>
      <c r="M1" s="869"/>
      <c r="N1" s="869"/>
      <c r="O1" s="312" t="s">
        <v>601</v>
      </c>
    </row>
    <row r="2" spans="1:15" ht="17.649999999999999" customHeight="1" x14ac:dyDescent="0.3">
      <c r="A2" s="1321" t="s">
        <v>30</v>
      </c>
      <c r="B2" s="1326"/>
      <c r="C2" s="1326"/>
      <c r="D2" s="1326"/>
      <c r="E2" s="1326"/>
      <c r="F2" s="1326"/>
      <c r="G2" s="1326"/>
      <c r="H2" s="1326"/>
      <c r="I2" s="1326"/>
      <c r="J2" s="1326"/>
      <c r="K2" s="1326"/>
      <c r="L2" s="1326"/>
      <c r="M2" s="1326"/>
      <c r="N2" s="1326"/>
      <c r="O2" s="1326"/>
    </row>
    <row r="3" spans="1:15" ht="15.4" customHeight="1" x14ac:dyDescent="0.25">
      <c r="A3" s="1317" t="s">
        <v>1215</v>
      </c>
      <c r="B3" s="1326"/>
      <c r="C3" s="1326"/>
      <c r="D3" s="1326"/>
      <c r="E3" s="1326"/>
      <c r="F3" s="1326"/>
      <c r="G3" s="1326"/>
      <c r="H3" s="1326"/>
      <c r="I3" s="1326"/>
      <c r="J3" s="1326"/>
      <c r="K3" s="1326"/>
      <c r="L3" s="1326"/>
      <c r="M3" s="1326"/>
      <c r="N3" s="1326"/>
      <c r="O3" s="1326"/>
    </row>
    <row r="4" spans="1:15" ht="15" customHeight="1" x14ac:dyDescent="0.25">
      <c r="A4" s="625" t="s">
        <v>1151</v>
      </c>
      <c r="B4" s="245"/>
      <c r="C4" s="245"/>
      <c r="D4" s="245"/>
      <c r="E4" s="245"/>
      <c r="F4" s="245"/>
      <c r="G4" s="245"/>
      <c r="H4" s="245"/>
      <c r="I4" s="245"/>
      <c r="J4" s="245"/>
      <c r="K4" s="245"/>
      <c r="L4" s="245"/>
      <c r="M4" s="245"/>
      <c r="N4" s="245"/>
      <c r="O4" s="245"/>
    </row>
    <row r="5" spans="1:15" ht="15" customHeight="1" x14ac:dyDescent="0.25">
      <c r="A5" s="625" t="s">
        <v>1162</v>
      </c>
      <c r="B5" s="245"/>
      <c r="C5" s="245"/>
      <c r="D5" s="245"/>
      <c r="E5" s="245"/>
      <c r="F5" s="245"/>
      <c r="G5" s="245"/>
      <c r="H5" s="245"/>
      <c r="I5" s="245"/>
      <c r="J5" s="245"/>
      <c r="K5" s="245"/>
      <c r="L5" s="245"/>
      <c r="M5" s="245"/>
      <c r="N5" s="245"/>
      <c r="O5" s="245"/>
    </row>
    <row r="6" spans="1:15" ht="15" customHeight="1" x14ac:dyDescent="0.25">
      <c r="A6" s="625" t="s">
        <v>1225</v>
      </c>
      <c r="B6" s="245"/>
      <c r="C6" s="245"/>
      <c r="D6" s="625" t="s">
        <v>773</v>
      </c>
      <c r="E6" s="245"/>
      <c r="F6" s="245"/>
      <c r="G6" s="245"/>
      <c r="H6" s="245"/>
      <c r="I6" s="245"/>
      <c r="J6" s="245"/>
      <c r="K6" s="245"/>
      <c r="L6" s="245"/>
      <c r="M6" s="245"/>
      <c r="N6" s="245"/>
      <c r="O6" s="245"/>
    </row>
    <row r="7" spans="1:15" ht="15" customHeight="1" x14ac:dyDescent="0.25">
      <c r="A7" s="625" t="s">
        <v>1347</v>
      </c>
      <c r="B7" s="245"/>
      <c r="C7" s="245"/>
      <c r="D7" s="245"/>
      <c r="E7" s="245"/>
      <c r="F7" s="245"/>
      <c r="G7" s="245"/>
      <c r="H7" s="245"/>
      <c r="I7" s="245"/>
      <c r="J7" s="245"/>
      <c r="K7" s="245"/>
      <c r="L7" s="245"/>
      <c r="M7" s="245"/>
      <c r="N7" s="245"/>
      <c r="O7" s="245"/>
    </row>
    <row r="8" spans="1:15" ht="15" customHeight="1" x14ac:dyDescent="0.25">
      <c r="A8" s="625" t="s">
        <v>584</v>
      </c>
      <c r="B8" s="245"/>
      <c r="C8" s="245"/>
      <c r="D8" s="245"/>
      <c r="E8" s="245"/>
      <c r="F8" s="245"/>
      <c r="G8" s="245"/>
      <c r="H8" s="245"/>
      <c r="I8" s="245"/>
      <c r="J8" s="245"/>
      <c r="K8" s="245"/>
      <c r="L8" s="245"/>
      <c r="M8" s="245"/>
      <c r="N8" s="245"/>
      <c r="O8" s="245"/>
    </row>
    <row r="9" spans="1:15" ht="15" customHeight="1" x14ac:dyDescent="0.25">
      <c r="A9" s="625" t="s">
        <v>1410</v>
      </c>
      <c r="B9" s="245"/>
      <c r="C9" s="245"/>
      <c r="D9" s="245"/>
      <c r="E9" s="245"/>
      <c r="F9" s="245"/>
      <c r="G9" s="245"/>
      <c r="H9" s="245"/>
      <c r="I9" s="245"/>
      <c r="J9" s="245"/>
      <c r="K9" s="245"/>
      <c r="L9" s="245"/>
      <c r="M9" s="245"/>
      <c r="N9" s="245"/>
      <c r="O9" s="245"/>
    </row>
    <row r="10" spans="1:15" ht="15" customHeight="1" x14ac:dyDescent="0.25">
      <c r="A10" s="625" t="s">
        <v>696</v>
      </c>
      <c r="B10" s="245"/>
      <c r="C10" s="245"/>
      <c r="D10" s="245"/>
      <c r="E10" s="245"/>
      <c r="F10" s="245"/>
      <c r="G10" s="245"/>
      <c r="H10" s="245"/>
      <c r="I10" s="245"/>
      <c r="J10" s="245"/>
      <c r="K10" s="245"/>
      <c r="L10" s="245"/>
      <c r="M10" s="245"/>
      <c r="N10" s="245"/>
      <c r="O10" s="245"/>
    </row>
    <row r="11" spans="1:15" ht="15" customHeight="1" x14ac:dyDescent="0.25">
      <c r="A11" s="625" t="s">
        <v>777</v>
      </c>
      <c r="B11" s="245"/>
      <c r="C11" s="245"/>
      <c r="D11" s="245"/>
      <c r="E11" s="245"/>
      <c r="F11" s="245"/>
      <c r="G11" s="245"/>
      <c r="H11" s="245"/>
      <c r="I11" s="245"/>
      <c r="J11" s="245"/>
      <c r="K11" s="245"/>
      <c r="L11" s="245"/>
      <c r="M11" s="245"/>
      <c r="N11" s="245"/>
      <c r="O11" s="245"/>
    </row>
    <row r="12" spans="1:15" ht="15" customHeight="1" x14ac:dyDescent="0.25">
      <c r="A12" s="245"/>
      <c r="B12" s="245"/>
      <c r="C12" s="245"/>
      <c r="D12" s="245"/>
      <c r="E12" s="245"/>
      <c r="F12" s="245"/>
      <c r="G12" s="245"/>
      <c r="H12" s="245"/>
      <c r="I12" s="245"/>
      <c r="J12" s="245"/>
      <c r="K12" s="245"/>
      <c r="L12" s="245"/>
      <c r="M12" s="245"/>
      <c r="N12" s="245"/>
      <c r="O12" s="245"/>
    </row>
    <row r="13" spans="1:15" ht="14.25" customHeight="1" x14ac:dyDescent="0.25">
      <c r="A13" s="1330" t="s">
        <v>1323</v>
      </c>
      <c r="B13" s="1333" t="s">
        <v>873</v>
      </c>
      <c r="C13" s="1330" t="s">
        <v>1462</v>
      </c>
      <c r="D13" s="1330" t="s">
        <v>60</v>
      </c>
      <c r="E13" s="1327" t="s">
        <v>207</v>
      </c>
      <c r="F13" s="1328"/>
      <c r="G13" s="1328"/>
      <c r="H13" s="1329"/>
      <c r="I13" s="1327" t="s">
        <v>692</v>
      </c>
      <c r="J13" s="1329"/>
      <c r="K13" s="1327" t="s">
        <v>438</v>
      </c>
      <c r="L13" s="1328"/>
      <c r="M13" s="1328"/>
      <c r="N13" s="1329"/>
      <c r="O13" s="1330" t="s">
        <v>1056</v>
      </c>
    </row>
    <row r="14" spans="1:15" ht="16.5" customHeight="1" x14ac:dyDescent="0.25">
      <c r="A14" s="1331"/>
      <c r="B14" s="1331"/>
      <c r="C14" s="1331"/>
      <c r="D14" s="1331"/>
      <c r="E14" s="1330" t="s">
        <v>1243</v>
      </c>
      <c r="F14" s="1327" t="s">
        <v>1170</v>
      </c>
      <c r="G14" s="1329"/>
      <c r="H14" s="692"/>
      <c r="I14" s="1330" t="s">
        <v>692</v>
      </c>
      <c r="J14" s="1330" t="s">
        <v>48</v>
      </c>
      <c r="K14" s="1330" t="s">
        <v>1243</v>
      </c>
      <c r="L14" s="1327" t="s">
        <v>1170</v>
      </c>
      <c r="M14" s="1328"/>
      <c r="N14" s="1329"/>
      <c r="O14" s="1331"/>
    </row>
    <row r="15" spans="1:15" ht="41.65" customHeight="1" x14ac:dyDescent="0.25">
      <c r="A15" s="1332"/>
      <c r="B15" s="1332"/>
      <c r="C15" s="1332"/>
      <c r="D15" s="1332"/>
      <c r="E15" s="1332"/>
      <c r="F15" s="148" t="s">
        <v>951</v>
      </c>
      <c r="G15" s="148" t="s">
        <v>0</v>
      </c>
      <c r="H15" s="148" t="s">
        <v>417</v>
      </c>
      <c r="I15" s="1332"/>
      <c r="J15" s="1332"/>
      <c r="K15" s="1332"/>
      <c r="L15" s="148" t="s">
        <v>951</v>
      </c>
      <c r="M15" s="148" t="s">
        <v>0</v>
      </c>
      <c r="N15" s="148" t="s">
        <v>417</v>
      </c>
      <c r="O15" s="1332"/>
    </row>
    <row r="16" spans="1:15" ht="15" customHeight="1" x14ac:dyDescent="0.25">
      <c r="A16" s="887"/>
      <c r="B16" s="887"/>
      <c r="C16" s="887"/>
      <c r="D16" s="887"/>
      <c r="E16" s="887"/>
      <c r="F16" s="148"/>
      <c r="G16" s="148"/>
      <c r="H16" s="148"/>
      <c r="I16" s="887"/>
      <c r="J16" s="887"/>
      <c r="K16" s="887"/>
      <c r="L16" s="148"/>
      <c r="M16" s="148"/>
      <c r="N16" s="148"/>
      <c r="O16" s="887"/>
    </row>
    <row r="17" spans="1:15" ht="15" customHeight="1" x14ac:dyDescent="0.25">
      <c r="A17" s="479">
        <v>0</v>
      </c>
      <c r="B17" s="417" t="s">
        <v>242</v>
      </c>
      <c r="C17" s="417" t="s">
        <v>1282</v>
      </c>
      <c r="D17" s="479"/>
      <c r="E17" s="460"/>
      <c r="F17" s="460"/>
      <c r="G17" s="460"/>
      <c r="H17" s="460"/>
      <c r="I17" s="375"/>
      <c r="J17" s="375"/>
      <c r="K17" s="375"/>
      <c r="L17" s="375"/>
      <c r="M17" s="375"/>
      <c r="N17" s="375"/>
      <c r="O17" s="417"/>
    </row>
    <row r="18" spans="1:15" ht="15" customHeight="1" x14ac:dyDescent="0.25">
      <c r="A18" s="458">
        <v>1</v>
      </c>
      <c r="B18" s="396" t="str">
        <f>'Tiên lượng'!C8</f>
        <v>SA.12112</v>
      </c>
      <c r="C18" s="396" t="str">
        <f>'Tiên lượng'!D8</f>
        <v>Phá dỡ kết cấu bê tông không cốt thép bằng búa căn. (Bê tông mặt đường cũ)</v>
      </c>
      <c r="D18" s="458" t="str">
        <f>'Tiên lượng'!E8</f>
        <v>m3</v>
      </c>
      <c r="E18" s="263">
        <f>'Tiên lượng'!M8</f>
        <v>40.799999999999997</v>
      </c>
      <c r="F18" s="263"/>
      <c r="G18" s="263"/>
      <c r="H18" s="263"/>
      <c r="I18" s="168">
        <f>'Chiết tính'!J21</f>
        <v>380225.94964056002</v>
      </c>
      <c r="J18" s="168"/>
      <c r="K18" s="168">
        <f t="shared" ref="K18:K39" si="0">E18*I18</f>
        <v>15513218.745334847</v>
      </c>
      <c r="L18" s="168">
        <f t="shared" ref="L18:L39" si="1">F18*I18</f>
        <v>0</v>
      </c>
      <c r="M18" s="168">
        <f t="shared" ref="M18:M39" si="2">G18*I18</f>
        <v>0</v>
      </c>
      <c r="N18" s="168">
        <f t="shared" ref="N18:N39" si="3">H18*I18</f>
        <v>0</v>
      </c>
      <c r="O18" s="396"/>
    </row>
    <row r="19" spans="1:15" ht="15" customHeight="1" x14ac:dyDescent="0.25">
      <c r="A19" s="458">
        <v>2</v>
      </c>
      <c r="B19" s="396" t="str">
        <f>'Tiên lượng'!C10</f>
        <v>AB.55321</v>
      </c>
      <c r="C19" s="396" t="str">
        <f>'Tiên lượng'!D10</f>
        <v>Xúc đá tảng, cục bê tông lên phương tiện vận chuyển bằng máy đào 3,6m3, ĐK 0,4÷1m</v>
      </c>
      <c r="D19" s="458" t="str">
        <f>'Tiên lượng'!E10</f>
        <v>100m3</v>
      </c>
      <c r="E19" s="263">
        <f>'Tiên lượng'!M10</f>
        <v>0.53039999999999998</v>
      </c>
      <c r="F19" s="263"/>
      <c r="G19" s="263"/>
      <c r="H19" s="263"/>
      <c r="I19" s="168">
        <f>'Chiết tính'!J36</f>
        <v>10704800.601168251</v>
      </c>
      <c r="J19" s="168"/>
      <c r="K19" s="168">
        <f t="shared" si="0"/>
        <v>5677826.2388596395</v>
      </c>
      <c r="L19" s="168">
        <f t="shared" si="1"/>
        <v>0</v>
      </c>
      <c r="M19" s="168">
        <f t="shared" si="2"/>
        <v>0</v>
      </c>
      <c r="N19" s="168">
        <f t="shared" si="3"/>
        <v>0</v>
      </c>
      <c r="O19" s="396"/>
    </row>
    <row r="20" spans="1:15" ht="15" customHeight="1" x14ac:dyDescent="0.25">
      <c r="A20" s="458">
        <v>3</v>
      </c>
      <c r="B20" s="396" t="str">
        <f>'Tiên lượng'!C12</f>
        <v>AB.56412</v>
      </c>
      <c r="C20" s="396" t="str">
        <f>'Tiên lượng'!D12</f>
        <v>Vận chuyển đá tảng, cục bê tông, ĐK 0,4÷1m, ô tô tự đổ 12T trong phạm vi ≤1000m</v>
      </c>
      <c r="D20" s="458" t="str">
        <f>'Tiên lượng'!E12</f>
        <v>100m3</v>
      </c>
      <c r="E20" s="263">
        <f>'Tiên lượng'!M12</f>
        <v>0.53039999999999998</v>
      </c>
      <c r="F20" s="263"/>
      <c r="G20" s="263"/>
      <c r="H20" s="263"/>
      <c r="I20" s="168">
        <f>'Chiết tính'!J50</f>
        <v>9259963.9998075645</v>
      </c>
      <c r="J20" s="168"/>
      <c r="K20" s="168">
        <f t="shared" si="0"/>
        <v>4911484.9054979319</v>
      </c>
      <c r="L20" s="168">
        <f t="shared" si="1"/>
        <v>0</v>
      </c>
      <c r="M20" s="168">
        <f t="shared" si="2"/>
        <v>0</v>
      </c>
      <c r="N20" s="168">
        <f t="shared" si="3"/>
        <v>0</v>
      </c>
      <c r="O20" s="396"/>
    </row>
    <row r="21" spans="1:15" ht="15" customHeight="1" x14ac:dyDescent="0.25">
      <c r="A21" s="458">
        <v>4</v>
      </c>
      <c r="B21" s="396" t="str">
        <f>'Tiên lượng'!C13</f>
        <v>TT</v>
      </c>
      <c r="C21" s="396" t="str">
        <f>'Tiên lượng'!D13</f>
        <v>Đào xúc đất sạt lở ta luy đồi xuống đường bằng máy xúc đào 0,4m3</v>
      </c>
      <c r="D21" s="458" t="str">
        <f>'Tiên lượng'!E13</f>
        <v>ca</v>
      </c>
      <c r="E21" s="263">
        <f>'Tiên lượng'!M13</f>
        <v>2</v>
      </c>
      <c r="F21" s="263"/>
      <c r="G21" s="263"/>
      <c r="H21" s="263"/>
      <c r="I21" s="168">
        <f>'Chiết tính'!J65</f>
        <v>4004052.48</v>
      </c>
      <c r="J21" s="168"/>
      <c r="K21" s="168">
        <f t="shared" si="0"/>
        <v>8008104.96</v>
      </c>
      <c r="L21" s="168">
        <f t="shared" si="1"/>
        <v>0</v>
      </c>
      <c r="M21" s="168">
        <f t="shared" si="2"/>
        <v>0</v>
      </c>
      <c r="N21" s="168">
        <f t="shared" si="3"/>
        <v>0</v>
      </c>
      <c r="O21" s="396"/>
    </row>
    <row r="22" spans="1:15" ht="15" customHeight="1" x14ac:dyDescent="0.25">
      <c r="A22" s="458">
        <v>5</v>
      </c>
      <c r="B22" s="396" t="str">
        <f>'Tiên lượng'!C14</f>
        <v>TT</v>
      </c>
      <c r="C22" s="396" t="str">
        <f>'Tiên lượng'!D14</f>
        <v>vận chuyển đất sạt lở ta luy đồi bằng ô tô</v>
      </c>
      <c r="D22" s="458" t="str">
        <f>'Tiên lượng'!E14</f>
        <v>ca</v>
      </c>
      <c r="E22" s="263">
        <f>'Tiên lượng'!M14</f>
        <v>2</v>
      </c>
      <c r="F22" s="263"/>
      <c r="G22" s="263"/>
      <c r="H22" s="263"/>
      <c r="I22" s="168">
        <f>'Chiết tính'!J80</f>
        <v>2502532.7999999998</v>
      </c>
      <c r="J22" s="168"/>
      <c r="K22" s="168">
        <f t="shared" si="0"/>
        <v>5005065.5999999996</v>
      </c>
      <c r="L22" s="168">
        <f t="shared" si="1"/>
        <v>0</v>
      </c>
      <c r="M22" s="168">
        <f t="shared" si="2"/>
        <v>0</v>
      </c>
      <c r="N22" s="168">
        <f t="shared" si="3"/>
        <v>0</v>
      </c>
      <c r="O22" s="396"/>
    </row>
    <row r="23" spans="1:15" ht="15" customHeight="1" x14ac:dyDescent="0.25">
      <c r="A23" s="458">
        <v>6</v>
      </c>
      <c r="B23" s="396" t="str">
        <f>'Tiên lượng'!C15</f>
        <v>AB.31113</v>
      </c>
      <c r="C23" s="396" t="str">
        <f>'Tiên lượng'!D15</f>
        <v>Đào nền đường bằng máy đào 0,4m3 - Cấp đất III (Bổ sung TT09/2024). Đào hạ nền đường trung bình 50cm, dài 50m</v>
      </c>
      <c r="D23" s="458" t="str">
        <f>'Tiên lượng'!E15</f>
        <v>100m3</v>
      </c>
      <c r="E23" s="263">
        <f>'Tiên lượng'!M15</f>
        <v>0.875</v>
      </c>
      <c r="F23" s="263"/>
      <c r="G23" s="263"/>
      <c r="H23" s="263"/>
      <c r="I23" s="168">
        <f>'Chiết tính'!J95</f>
        <v>8197109.8508344321</v>
      </c>
      <c r="J23" s="168"/>
      <c r="K23" s="168">
        <f t="shared" si="0"/>
        <v>7172471.1194801284</v>
      </c>
      <c r="L23" s="168">
        <f t="shared" si="1"/>
        <v>0</v>
      </c>
      <c r="M23" s="168">
        <f t="shared" si="2"/>
        <v>0</v>
      </c>
      <c r="N23" s="168">
        <f t="shared" si="3"/>
        <v>0</v>
      </c>
      <c r="O23" s="396"/>
    </row>
    <row r="24" spans="1:15" ht="15" customHeight="1" x14ac:dyDescent="0.25">
      <c r="A24" s="458">
        <v>7</v>
      </c>
      <c r="B24" s="396" t="str">
        <f>'Tiên lượng'!C17</f>
        <v>AB.41123.VD</v>
      </c>
      <c r="C24" s="396" t="str">
        <f>'Tiên lượng'!D17</f>
        <v>Vận chuyển đất bằng ô tô tự đổ 7T, phạm vi ≤300m - Cấp đất III</v>
      </c>
      <c r="D24" s="458" t="str">
        <f>'Tiên lượng'!E17</f>
        <v>ca</v>
      </c>
      <c r="E24" s="263">
        <f>'Tiên lượng'!M17</f>
        <v>1</v>
      </c>
      <c r="F24" s="263"/>
      <c r="G24" s="263"/>
      <c r="H24" s="263"/>
      <c r="I24" s="168">
        <f>'Chiết tính'!J109</f>
        <v>2502532.7999999998</v>
      </c>
      <c r="J24" s="168"/>
      <c r="K24" s="168">
        <f t="shared" si="0"/>
        <v>2502532.7999999998</v>
      </c>
      <c r="L24" s="168">
        <f t="shared" si="1"/>
        <v>0</v>
      </c>
      <c r="M24" s="168">
        <f t="shared" si="2"/>
        <v>0</v>
      </c>
      <c r="N24" s="168">
        <f t="shared" si="3"/>
        <v>0</v>
      </c>
      <c r="O24" s="396"/>
    </row>
    <row r="25" spans="1:15" ht="15" customHeight="1" x14ac:dyDescent="0.25">
      <c r="A25" s="458">
        <v>8</v>
      </c>
      <c r="B25" s="396" t="str">
        <f>'Tiên lượng'!C18</f>
        <v>AD.11212.VD</v>
      </c>
      <c r="C25" s="396" t="str">
        <f>'Tiên lượng'!D18</f>
        <v>Bù vênh mặt đường bằng Đá dăm cấp phối loại II (Subbase)</v>
      </c>
      <c r="D25" s="458" t="str">
        <f>'Tiên lượng'!E18</f>
        <v>100m3</v>
      </c>
      <c r="E25" s="263">
        <f>'Tiên lượng'!M18</f>
        <v>0.5</v>
      </c>
      <c r="F25" s="263"/>
      <c r="G25" s="263"/>
      <c r="H25" s="263"/>
      <c r="I25" s="168">
        <f>'Chiết tính'!J127</f>
        <v>69011418.714301124</v>
      </c>
      <c r="J25" s="168"/>
      <c r="K25" s="168">
        <f t="shared" si="0"/>
        <v>34505709.357150562</v>
      </c>
      <c r="L25" s="168">
        <f t="shared" si="1"/>
        <v>0</v>
      </c>
      <c r="M25" s="168">
        <f t="shared" si="2"/>
        <v>0</v>
      </c>
      <c r="N25" s="168">
        <f t="shared" si="3"/>
        <v>0</v>
      </c>
      <c r="O25" s="396"/>
    </row>
    <row r="26" spans="1:15" ht="15" customHeight="1" x14ac:dyDescent="0.25">
      <c r="A26" s="458">
        <v>9</v>
      </c>
      <c r="B26" s="396" t="str">
        <f>'Tiên lượng'!C20</f>
        <v>AD.11222.VD</v>
      </c>
      <c r="C26" s="396" t="str">
        <f>'Tiên lượng'!D20</f>
        <v>Thi công lớp đệm móng bằng đá mạt. chiều dài 150m</v>
      </c>
      <c r="D26" s="458" t="str">
        <f>'Tiên lượng'!E20</f>
        <v>100m3</v>
      </c>
      <c r="E26" s="263">
        <f>'Tiên lượng'!M20</f>
        <v>0.16649999999999998</v>
      </c>
      <c r="F26" s="263"/>
      <c r="G26" s="263"/>
      <c r="H26" s="263"/>
      <c r="I26" s="168">
        <f>'Chiết tính'!J142</f>
        <v>68021777.244737417</v>
      </c>
      <c r="J26" s="168"/>
      <c r="K26" s="168">
        <f t="shared" si="0"/>
        <v>11325625.911248779</v>
      </c>
      <c r="L26" s="168">
        <f t="shared" si="1"/>
        <v>0</v>
      </c>
      <c r="M26" s="168">
        <f t="shared" si="2"/>
        <v>0</v>
      </c>
      <c r="N26" s="168">
        <f t="shared" si="3"/>
        <v>0</v>
      </c>
      <c r="O26" s="396"/>
    </row>
    <row r="27" spans="1:15" ht="15" customHeight="1" x14ac:dyDescent="0.25">
      <c r="A27" s="458">
        <v>10</v>
      </c>
      <c r="B27" s="396" t="str">
        <f>'Tiên lượng'!C22</f>
        <v>TT.00001</v>
      </c>
      <c r="C27" s="396" t="str">
        <f>'Tiên lượng'!D22</f>
        <v xml:space="preserve">San gạt tạo phẳng nền đường bằng máy San </v>
      </c>
      <c r="D27" s="458" t="str">
        <f>'Tiên lượng'!E22</f>
        <v>ca</v>
      </c>
      <c r="E27" s="263">
        <f>'Tiên lượng'!M22</f>
        <v>1</v>
      </c>
      <c r="F27" s="263"/>
      <c r="G27" s="263"/>
      <c r="H27" s="263"/>
      <c r="I27" s="168">
        <f>'Chiết tính'!J157</f>
        <v>6256332</v>
      </c>
      <c r="J27" s="168"/>
      <c r="K27" s="168">
        <f t="shared" si="0"/>
        <v>6256332</v>
      </c>
      <c r="L27" s="168">
        <f t="shared" si="1"/>
        <v>0</v>
      </c>
      <c r="M27" s="168">
        <f t="shared" si="2"/>
        <v>0</v>
      </c>
      <c r="N27" s="168">
        <f t="shared" si="3"/>
        <v>0</v>
      </c>
      <c r="O27" s="396"/>
    </row>
    <row r="28" spans="1:15" ht="15" customHeight="1" x14ac:dyDescent="0.25">
      <c r="A28" s="458">
        <v>11</v>
      </c>
      <c r="B28" s="396" t="str">
        <f>'Tiên lượng'!C23</f>
        <v>TT</v>
      </c>
      <c r="C28" s="396" t="str">
        <f>'Tiên lượng'!D23</f>
        <v>Công tác đào rãnh, hố ga để đặt cống thoát nước đầu tuyến bằng thủ công</v>
      </c>
      <c r="D28" s="458" t="str">
        <f>'Tiên lượng'!E23</f>
        <v>công</v>
      </c>
      <c r="E28" s="263">
        <f>'Tiên lượng'!M23</f>
        <v>4</v>
      </c>
      <c r="F28" s="263"/>
      <c r="G28" s="263"/>
      <c r="H28" s="263"/>
      <c r="I28" s="168">
        <f>'Chiết tính'!J172</f>
        <v>563069.88</v>
      </c>
      <c r="J28" s="168"/>
      <c r="K28" s="168">
        <f t="shared" si="0"/>
        <v>2252279.52</v>
      </c>
      <c r="L28" s="168">
        <f t="shared" si="1"/>
        <v>0</v>
      </c>
      <c r="M28" s="168">
        <f t="shared" si="2"/>
        <v>0</v>
      </c>
      <c r="N28" s="168">
        <f t="shared" si="3"/>
        <v>0</v>
      </c>
      <c r="O28" s="396"/>
    </row>
    <row r="29" spans="1:15" ht="15" customHeight="1" x14ac:dyDescent="0.25">
      <c r="A29" s="458">
        <v>12</v>
      </c>
      <c r="B29" s="396" t="str">
        <f>'Tiên lượng'!C24</f>
        <v>BB.11211</v>
      </c>
      <c r="C29" s="396" t="str">
        <f>'Tiên lượng'!D24</f>
        <v>Lắp đặt ống bê tông bằng cần cẩu, đoạn ống dài 1m - Đường kính ≤600mm</v>
      </c>
      <c r="D29" s="458" t="str">
        <f>'Tiên lượng'!E24</f>
        <v>1 đoạn ống</v>
      </c>
      <c r="E29" s="263">
        <f>'Tiên lượng'!M24</f>
        <v>5</v>
      </c>
      <c r="F29" s="263"/>
      <c r="G29" s="263"/>
      <c r="H29" s="263"/>
      <c r="I29" s="168">
        <f>'Chiết tính'!J190</f>
        <v>1481577.578956689</v>
      </c>
      <c r="J29" s="168"/>
      <c r="K29" s="168">
        <f t="shared" si="0"/>
        <v>7407887.8947834447</v>
      </c>
      <c r="L29" s="168">
        <f t="shared" si="1"/>
        <v>0</v>
      </c>
      <c r="M29" s="168">
        <f t="shared" si="2"/>
        <v>0</v>
      </c>
      <c r="N29" s="168">
        <f t="shared" si="3"/>
        <v>0</v>
      </c>
      <c r="O29" s="396"/>
    </row>
    <row r="30" spans="1:15" ht="15" customHeight="1" x14ac:dyDescent="0.25">
      <c r="A30" s="458">
        <v>13</v>
      </c>
      <c r="B30" s="396" t="str">
        <f>'Tiên lượng'!C25</f>
        <v>TT</v>
      </c>
      <c r="C30" s="396" t="str">
        <f>'Tiên lượng'!D25</f>
        <v>Thi công hố ga 2 đầu cống</v>
      </c>
      <c r="D30" s="458" t="str">
        <f>'Tiên lượng'!E25</f>
        <v>cái</v>
      </c>
      <c r="E30" s="263">
        <f>'Tiên lượng'!M25</f>
        <v>2</v>
      </c>
      <c r="F30" s="263"/>
      <c r="G30" s="263"/>
      <c r="H30" s="263"/>
      <c r="I30" s="168">
        <f>'Chiết tính'!J206</f>
        <v>2502532.7999999998</v>
      </c>
      <c r="J30" s="168"/>
      <c r="K30" s="168">
        <f t="shared" si="0"/>
        <v>5005065.5999999996</v>
      </c>
      <c r="L30" s="168">
        <f t="shared" si="1"/>
        <v>0</v>
      </c>
      <c r="M30" s="168">
        <f t="shared" si="2"/>
        <v>0</v>
      </c>
      <c r="N30" s="168">
        <f t="shared" si="3"/>
        <v>0</v>
      </c>
      <c r="O30" s="396"/>
    </row>
    <row r="31" spans="1:15" ht="15" customHeight="1" x14ac:dyDescent="0.25">
      <c r="A31" s="458">
        <v>14</v>
      </c>
      <c r="B31" s="396" t="str">
        <f>'Tiên lượng'!C27</f>
        <v>AL.16201</v>
      </c>
      <c r="C31" s="396" t="str">
        <f>'Tiên lượng'!D27</f>
        <v>Rải giấy ni long lớp cách ly</v>
      </c>
      <c r="D31" s="458" t="str">
        <f>'Tiên lượng'!E27</f>
        <v>100m2</v>
      </c>
      <c r="E31" s="263">
        <f>'Tiên lượng'!M27</f>
        <v>18.594999999999999</v>
      </c>
      <c r="F31" s="263"/>
      <c r="G31" s="263"/>
      <c r="H31" s="263"/>
      <c r="I31" s="168">
        <f>'Chiết tính'!J222</f>
        <v>602334.61963199999</v>
      </c>
      <c r="J31" s="168"/>
      <c r="K31" s="168">
        <f t="shared" si="0"/>
        <v>11200412.252057038</v>
      </c>
      <c r="L31" s="168">
        <f t="shared" si="1"/>
        <v>0</v>
      </c>
      <c r="M31" s="168">
        <f t="shared" si="2"/>
        <v>0</v>
      </c>
      <c r="N31" s="168">
        <f t="shared" si="3"/>
        <v>0</v>
      </c>
      <c r="O31" s="396"/>
    </row>
    <row r="32" spans="1:15" ht="15" customHeight="1" x14ac:dyDescent="0.25">
      <c r="A32" s="458">
        <v>15</v>
      </c>
      <c r="B32" s="396" t="str">
        <f>'Tiên lượng'!C30</f>
        <v>AF.82411</v>
      </c>
      <c r="C32" s="396" t="str">
        <f>'Tiên lượng'!D30</f>
        <v>Ván khuôn thép mặt đường bê tông</v>
      </c>
      <c r="D32" s="458" t="str">
        <f>'Tiên lượng'!E30</f>
        <v>100m2</v>
      </c>
      <c r="E32" s="263">
        <f>'Tiên lượng'!M30</f>
        <v>2.0680000000000001</v>
      </c>
      <c r="F32" s="263"/>
      <c r="G32" s="263"/>
      <c r="H32" s="263"/>
      <c r="I32" s="168">
        <f>'Chiết tính'!J241</f>
        <v>5175138.9463067772</v>
      </c>
      <c r="J32" s="168"/>
      <c r="K32" s="168">
        <f t="shared" si="0"/>
        <v>10702187.340962416</v>
      </c>
      <c r="L32" s="168">
        <f t="shared" si="1"/>
        <v>0</v>
      </c>
      <c r="M32" s="168">
        <f t="shared" si="2"/>
        <v>0</v>
      </c>
      <c r="N32" s="168">
        <f t="shared" si="3"/>
        <v>0</v>
      </c>
      <c r="O32" s="396"/>
    </row>
    <row r="33" spans="1:15" ht="15" customHeight="1" x14ac:dyDescent="0.25">
      <c r="A33" s="458">
        <v>16</v>
      </c>
      <c r="B33" s="396" t="str">
        <f>'Tiên lượng'!C32</f>
        <v>AF.15434A</v>
      </c>
      <c r="C33" s="396" t="str">
        <f>'Tiên lượng'!D32</f>
        <v>Bê tông sản xuất bằng máy trộn và đổ bằng thủ công, bê tông mặt đường dày mặt đường ≤25cm, bê tông M250, đá 2x4, PCB30</v>
      </c>
      <c r="D33" s="458" t="str">
        <f>'Tiên lượng'!E32</f>
        <v>m3</v>
      </c>
      <c r="E33" s="263">
        <f>'Tiên lượng'!M32</f>
        <v>371.90000000000003</v>
      </c>
      <c r="F33" s="263"/>
      <c r="G33" s="263"/>
      <c r="H33" s="263"/>
      <c r="I33" s="168">
        <f>'Chiết tính'!J266</f>
        <v>2525582.2940861685</v>
      </c>
      <c r="J33" s="168"/>
      <c r="K33" s="168">
        <f t="shared" si="0"/>
        <v>939264055.17064619</v>
      </c>
      <c r="L33" s="168">
        <f t="shared" si="1"/>
        <v>0</v>
      </c>
      <c r="M33" s="168">
        <f t="shared" si="2"/>
        <v>0</v>
      </c>
      <c r="N33" s="168">
        <f t="shared" si="3"/>
        <v>0</v>
      </c>
      <c r="O33" s="396"/>
    </row>
    <row r="34" spans="1:15" ht="15" customHeight="1" x14ac:dyDescent="0.25">
      <c r="A34" s="458">
        <v>17</v>
      </c>
      <c r="B34" s="396" t="str">
        <f>'Tiên lượng'!C35</f>
        <v>AL.22111</v>
      </c>
      <c r="C34" s="396" t="str">
        <f>'Tiên lượng'!D35</f>
        <v>Cắt khe co, dãn mặt đường BTXM ( 5m cắt 1 mạch)</v>
      </c>
      <c r="D34" s="458" t="str">
        <f>'Tiên lượng'!E35</f>
        <v>10m</v>
      </c>
      <c r="E34" s="263">
        <f>'Tiên lượng'!M35</f>
        <v>36.190000000000005</v>
      </c>
      <c r="F34" s="263"/>
      <c r="G34" s="263"/>
      <c r="H34" s="263"/>
      <c r="I34" s="168">
        <f>'Chiết tính'!J283</f>
        <v>281988.82437393599</v>
      </c>
      <c r="J34" s="168"/>
      <c r="K34" s="168">
        <f t="shared" si="0"/>
        <v>10205175.554092744</v>
      </c>
      <c r="L34" s="168">
        <f t="shared" si="1"/>
        <v>0</v>
      </c>
      <c r="M34" s="168">
        <f t="shared" si="2"/>
        <v>0</v>
      </c>
      <c r="N34" s="168">
        <f t="shared" si="3"/>
        <v>0</v>
      </c>
      <c r="O34" s="396"/>
    </row>
    <row r="35" spans="1:15" ht="15" customHeight="1" x14ac:dyDescent="0.25">
      <c r="A35" s="458">
        <v>18</v>
      </c>
      <c r="B35" s="396" t="str">
        <f>'Tiên lượng'!C37</f>
        <v>TT</v>
      </c>
      <c r="C35" s="396" t="str">
        <f>'Tiên lượng'!D37</f>
        <v>Công tác đánh bóng mặt đường bằng máy</v>
      </c>
      <c r="D35" s="458" t="str">
        <f>'Tiên lượng'!E37</f>
        <v>m2</v>
      </c>
      <c r="E35" s="263">
        <f>'Tiên lượng'!M37</f>
        <v>1859.5</v>
      </c>
      <c r="F35" s="263"/>
      <c r="G35" s="263"/>
      <c r="H35" s="263"/>
      <c r="I35" s="168">
        <f>'Chiết tính'!J299</f>
        <v>21271.5288</v>
      </c>
      <c r="J35" s="168"/>
      <c r="K35" s="168">
        <f t="shared" si="0"/>
        <v>39554407.803599998</v>
      </c>
      <c r="L35" s="168">
        <f t="shared" si="1"/>
        <v>0</v>
      </c>
      <c r="M35" s="168">
        <f t="shared" si="2"/>
        <v>0</v>
      </c>
      <c r="N35" s="168">
        <f t="shared" si="3"/>
        <v>0</v>
      </c>
      <c r="O35" s="396"/>
    </row>
    <row r="36" spans="1:15" ht="15" customHeight="1" x14ac:dyDescent="0.25">
      <c r="A36" s="458">
        <v>19</v>
      </c>
      <c r="B36" s="396" t="str">
        <f>'Tiên lượng'!C40</f>
        <v>AB.27103</v>
      </c>
      <c r="C36" s="396" t="str">
        <f>'Tiên lượng'!D40</f>
        <v>Đào kênh mương, chiều rộng kênh mương ≤6m bằng máy đào 0,4m3 - Cấp đất III</v>
      </c>
      <c r="D36" s="458" t="str">
        <f>'Tiên lượng'!E40</f>
        <v>100m3</v>
      </c>
      <c r="E36" s="263">
        <f>'Tiên lượng'!M40</f>
        <v>0.41360000000000008</v>
      </c>
      <c r="F36" s="263"/>
      <c r="G36" s="263"/>
      <c r="H36" s="263"/>
      <c r="I36" s="168">
        <f>'Chiết tính'!J314</f>
        <v>4923337.4083363675</v>
      </c>
      <c r="J36" s="168"/>
      <c r="K36" s="168">
        <f t="shared" si="0"/>
        <v>2036292.3520879219</v>
      </c>
      <c r="L36" s="168">
        <f t="shared" si="1"/>
        <v>0</v>
      </c>
      <c r="M36" s="168">
        <f t="shared" si="2"/>
        <v>0</v>
      </c>
      <c r="N36" s="168">
        <f t="shared" si="3"/>
        <v>0</v>
      </c>
      <c r="O36" s="396"/>
    </row>
    <row r="37" spans="1:15" ht="15" customHeight="1" x14ac:dyDescent="0.25">
      <c r="A37" s="458">
        <v>20</v>
      </c>
      <c r="B37" s="396" t="str">
        <f>'Tiên lượng'!C42</f>
        <v>AB.11503</v>
      </c>
      <c r="C37" s="396" t="str">
        <f>'Tiên lượng'!D42</f>
        <v>Đào kênh mương, rãnh thoát nước, đường ống, đường cáp bằng thủ công, rộng ≤1m, sâu ≤1m - Cấp đất III</v>
      </c>
      <c r="D37" s="458" t="str">
        <f>'Tiên lượng'!E42</f>
        <v>1m3</v>
      </c>
      <c r="E37" s="263">
        <f>'Tiên lượng'!M42</f>
        <v>17.13</v>
      </c>
      <c r="F37" s="263"/>
      <c r="G37" s="263"/>
      <c r="H37" s="263"/>
      <c r="I37" s="168">
        <f>'Chiết tính'!J328</f>
        <v>463420.47537302406</v>
      </c>
      <c r="J37" s="168"/>
      <c r="K37" s="168">
        <f t="shared" si="0"/>
        <v>7938392.7431399021</v>
      </c>
      <c r="L37" s="168">
        <f t="shared" si="1"/>
        <v>0</v>
      </c>
      <c r="M37" s="168">
        <f t="shared" si="2"/>
        <v>0</v>
      </c>
      <c r="N37" s="168">
        <f t="shared" si="3"/>
        <v>0</v>
      </c>
      <c r="O37" s="396"/>
    </row>
    <row r="38" spans="1:15" ht="15" customHeight="1" x14ac:dyDescent="0.25">
      <c r="A38" s="458">
        <v>21</v>
      </c>
      <c r="B38" s="396" t="str">
        <f>'Tiên lượng'!C44</f>
        <v>TT</v>
      </c>
      <c r="C38" s="396" t="str">
        <f>'Tiên lượng'!D44</f>
        <v>Ô tô vận chuyển đất đi đổ</v>
      </c>
      <c r="D38" s="458" t="str">
        <f>'Tiên lượng'!E44</f>
        <v>ca</v>
      </c>
      <c r="E38" s="263">
        <f>'Tiên lượng'!M44</f>
        <v>1</v>
      </c>
      <c r="F38" s="263"/>
      <c r="G38" s="263"/>
      <c r="H38" s="263"/>
      <c r="I38" s="168">
        <f>'Chiết tính'!J343</f>
        <v>2502532.7999999998</v>
      </c>
      <c r="J38" s="168"/>
      <c r="K38" s="168">
        <f t="shared" si="0"/>
        <v>2502532.7999999998</v>
      </c>
      <c r="L38" s="168">
        <f t="shared" si="1"/>
        <v>0</v>
      </c>
      <c r="M38" s="168">
        <f t="shared" si="2"/>
        <v>0</v>
      </c>
      <c r="N38" s="168">
        <f t="shared" si="3"/>
        <v>0</v>
      </c>
      <c r="O38" s="396"/>
    </row>
    <row r="39" spans="1:15" ht="15" customHeight="1" x14ac:dyDescent="0.25">
      <c r="A39" s="458">
        <v>22</v>
      </c>
      <c r="B39" s="396" t="str">
        <f>'Tiên lượng'!C45</f>
        <v>SF.11311.VD</v>
      </c>
      <c r="C39" s="396" t="str">
        <f>'Tiên lượng'!D45</f>
        <v>Đắp phụ nền, lề đường bằng Đá dăm cấp phối loại II (Subbase)</v>
      </c>
      <c r="D39" s="458" t="str">
        <f>'Tiên lượng'!E45</f>
        <v>m3</v>
      </c>
      <c r="E39" s="263">
        <f>'Tiên lượng'!M45</f>
        <v>113.74000000000001</v>
      </c>
      <c r="F39" s="263"/>
      <c r="G39" s="263"/>
      <c r="H39" s="263"/>
      <c r="I39" s="168">
        <f>'Chiết tính'!J359</f>
        <v>844577.96312817931</v>
      </c>
      <c r="J39" s="168"/>
      <c r="K39" s="168">
        <f t="shared" si="0"/>
        <v>96062297.526199117</v>
      </c>
      <c r="L39" s="168">
        <f t="shared" si="1"/>
        <v>0</v>
      </c>
      <c r="M39" s="168">
        <f t="shared" si="2"/>
        <v>0</v>
      </c>
      <c r="N39" s="168">
        <f t="shared" si="3"/>
        <v>0</v>
      </c>
      <c r="O39" s="396"/>
    </row>
    <row r="40" spans="1:15" ht="15" customHeight="1" x14ac:dyDescent="0.25">
      <c r="A40" s="479"/>
      <c r="B40" s="417" t="s">
        <v>1217</v>
      </c>
      <c r="C40" s="417" t="s">
        <v>1197</v>
      </c>
      <c r="D40" s="479"/>
      <c r="E40" s="460"/>
      <c r="F40" s="460"/>
      <c r="G40" s="460"/>
      <c r="H40" s="460"/>
      <c r="I40" s="375"/>
      <c r="J40" s="375"/>
      <c r="K40" s="375">
        <f t="shared" ref="K40:N40" si="4">SUM(K18:K39)</f>
        <v>1235009358.1951406</v>
      </c>
      <c r="L40" s="375">
        <f t="shared" si="4"/>
        <v>0</v>
      </c>
      <c r="M40" s="375">
        <f t="shared" si="4"/>
        <v>0</v>
      </c>
      <c r="N40" s="375">
        <f t="shared" si="4"/>
        <v>0</v>
      </c>
      <c r="O40" s="417"/>
    </row>
    <row r="41" spans="1:15" ht="15" customHeight="1" x14ac:dyDescent="0.25">
      <c r="A41" s="245"/>
      <c r="B41" s="245"/>
      <c r="C41" s="245"/>
      <c r="D41" s="245"/>
      <c r="E41" s="245"/>
      <c r="F41" s="245"/>
      <c r="G41" s="245"/>
      <c r="H41" s="245"/>
      <c r="I41" s="245"/>
      <c r="J41" s="245"/>
      <c r="K41" s="245"/>
      <c r="L41" s="245"/>
      <c r="M41" s="245"/>
      <c r="N41" s="245"/>
      <c r="O41" s="245"/>
    </row>
    <row r="42" spans="1:15" ht="15" customHeight="1" x14ac:dyDescent="0.25">
      <c r="A42" s="625" t="s">
        <v>244</v>
      </c>
      <c r="B42" s="245"/>
      <c r="C42" s="245"/>
      <c r="D42" s="245"/>
      <c r="E42" s="245"/>
      <c r="F42" s="245"/>
      <c r="G42" s="245"/>
      <c r="H42" s="245"/>
      <c r="I42" s="245"/>
      <c r="J42" s="245"/>
      <c r="K42" s="245"/>
      <c r="L42" s="245"/>
      <c r="M42" s="245"/>
      <c r="N42" s="245"/>
      <c r="O42" s="245"/>
    </row>
    <row r="43" spans="1:15" ht="15" customHeight="1" x14ac:dyDescent="0.25">
      <c r="A43" s="625" t="s">
        <v>948</v>
      </c>
      <c r="B43" s="245"/>
      <c r="C43" s="245"/>
      <c r="D43" s="245"/>
      <c r="E43" s="245"/>
      <c r="F43" s="245"/>
      <c r="G43" s="245"/>
      <c r="H43" s="245"/>
      <c r="I43" s="245"/>
      <c r="J43" s="245"/>
      <c r="K43" s="245"/>
      <c r="L43" s="245"/>
      <c r="M43" s="245"/>
      <c r="N43" s="245"/>
      <c r="O43" s="245"/>
    </row>
    <row r="44" spans="1:15" ht="15" customHeight="1" x14ac:dyDescent="0.25">
      <c r="A44" s="625" t="s">
        <v>903</v>
      </c>
      <c r="B44" s="245"/>
      <c r="C44" s="245"/>
      <c r="D44" s="245"/>
      <c r="E44" s="245"/>
      <c r="F44" s="245"/>
      <c r="G44" s="245"/>
      <c r="H44" s="245"/>
      <c r="I44" s="245"/>
      <c r="J44" s="245"/>
      <c r="K44" s="245"/>
      <c r="L44" s="245"/>
      <c r="M44" s="245"/>
      <c r="N44" s="245"/>
      <c r="O44" s="245"/>
    </row>
    <row r="45" spans="1:15" ht="15" customHeight="1" x14ac:dyDescent="0.25">
      <c r="A45" s="625" t="s">
        <v>1190</v>
      </c>
      <c r="B45" s="245"/>
      <c r="C45" s="245"/>
      <c r="D45" s="245"/>
      <c r="E45" s="245"/>
      <c r="F45" s="245"/>
      <c r="G45" s="245"/>
      <c r="H45" s="245"/>
      <c r="I45" s="245"/>
      <c r="J45" s="245"/>
      <c r="K45" s="245"/>
      <c r="L45" s="245"/>
      <c r="M45" s="245"/>
      <c r="N45" s="245"/>
      <c r="O45" s="245"/>
    </row>
    <row r="46" spans="1:15" ht="15" customHeight="1" x14ac:dyDescent="0.25">
      <c r="A46" s="625" t="s">
        <v>961</v>
      </c>
      <c r="B46" s="245"/>
      <c r="C46" s="245"/>
      <c r="D46" s="245"/>
      <c r="E46" s="245"/>
      <c r="F46" s="245"/>
      <c r="G46" s="245"/>
      <c r="H46" s="245"/>
      <c r="I46" s="245"/>
      <c r="J46" s="245"/>
      <c r="K46" s="245"/>
      <c r="L46" s="245"/>
      <c r="M46" s="245"/>
      <c r="N46" s="245"/>
      <c r="O46" s="245"/>
    </row>
    <row r="47" spans="1:15" ht="15" customHeight="1" x14ac:dyDescent="0.25">
      <c r="A47" s="625" t="s">
        <v>130</v>
      </c>
      <c r="B47" s="245"/>
      <c r="C47" s="245"/>
      <c r="D47" s="245"/>
      <c r="E47" s="245"/>
      <c r="F47" s="245"/>
      <c r="G47" s="245"/>
      <c r="H47" s="245"/>
      <c r="I47" s="245"/>
      <c r="J47" s="245"/>
      <c r="K47" s="245"/>
      <c r="L47" s="245"/>
      <c r="M47" s="245"/>
      <c r="N47" s="245"/>
      <c r="O47" s="245"/>
    </row>
    <row r="48" spans="1:15" ht="15" customHeight="1" x14ac:dyDescent="0.25">
      <c r="A48" s="625" t="s">
        <v>721</v>
      </c>
      <c r="B48" s="245"/>
      <c r="C48" s="245"/>
      <c r="D48" s="245"/>
      <c r="E48" s="245"/>
      <c r="F48" s="245"/>
      <c r="G48" s="245"/>
      <c r="H48" s="245"/>
      <c r="I48" s="245"/>
      <c r="J48" s="245"/>
      <c r="K48" s="245"/>
      <c r="L48" s="245"/>
      <c r="M48" s="245"/>
      <c r="N48" s="245"/>
      <c r="O48" s="245"/>
    </row>
    <row r="49" spans="1:15" ht="15" customHeight="1" x14ac:dyDescent="0.25">
      <c r="A49" s="625" t="s">
        <v>1154</v>
      </c>
      <c r="B49" s="245"/>
      <c r="C49" s="245"/>
      <c r="D49" s="245"/>
      <c r="E49" s="245"/>
      <c r="F49" s="245"/>
      <c r="G49" s="245"/>
      <c r="H49" s="245"/>
      <c r="I49" s="245"/>
      <c r="J49" s="245"/>
      <c r="K49" s="245"/>
      <c r="L49" s="245"/>
      <c r="M49" s="245"/>
      <c r="N49" s="245"/>
      <c r="O49" s="245"/>
    </row>
    <row r="50" spans="1:15" ht="15" customHeight="1" x14ac:dyDescent="0.25">
      <c r="A50" s="245"/>
      <c r="B50" s="245"/>
      <c r="C50" s="245"/>
      <c r="D50" s="245"/>
      <c r="E50" s="245"/>
      <c r="F50" s="245"/>
      <c r="G50" s="245"/>
      <c r="H50" s="245"/>
      <c r="I50" s="245"/>
      <c r="J50" s="245"/>
      <c r="K50" s="245"/>
      <c r="L50" s="245"/>
      <c r="M50" s="245"/>
      <c r="N50" s="245"/>
      <c r="O50" s="245"/>
    </row>
    <row r="51" spans="1:15" ht="15" customHeight="1" x14ac:dyDescent="0.25">
      <c r="A51" s="245"/>
      <c r="B51" s="245"/>
      <c r="C51" s="245"/>
      <c r="D51" s="245"/>
      <c r="E51" s="245"/>
      <c r="F51" s="245"/>
      <c r="G51" s="245"/>
      <c r="H51" s="245"/>
      <c r="I51" s="245"/>
      <c r="J51" s="245"/>
      <c r="K51" s="1325"/>
      <c r="L51" s="1326"/>
      <c r="M51" s="1326"/>
      <c r="N51" s="1326"/>
      <c r="O51" s="1326"/>
    </row>
    <row r="52" spans="1:15" ht="17.649999999999999" customHeight="1" x14ac:dyDescent="0.3">
      <c r="A52" s="1321" t="s">
        <v>1121</v>
      </c>
      <c r="B52" s="1326"/>
      <c r="C52" s="1326"/>
      <c r="D52" s="1112"/>
      <c r="E52" s="1326"/>
      <c r="F52" s="1326"/>
      <c r="G52" s="1326"/>
      <c r="H52" s="1326"/>
      <c r="I52" s="1326"/>
      <c r="J52" s="861"/>
      <c r="K52" s="1321" t="s">
        <v>1336</v>
      </c>
      <c r="L52" s="1326"/>
      <c r="M52" s="1326"/>
      <c r="N52" s="1326"/>
      <c r="O52" s="1326"/>
    </row>
    <row r="53" spans="1:15" ht="15.4" customHeight="1" x14ac:dyDescent="0.25">
      <c r="A53" s="1317" t="s">
        <v>694</v>
      </c>
      <c r="B53" s="1326"/>
      <c r="C53" s="1326"/>
      <c r="D53" s="1324"/>
      <c r="E53" s="1326"/>
      <c r="F53" s="1326"/>
      <c r="G53" s="1326"/>
      <c r="H53" s="1326"/>
      <c r="I53" s="1326"/>
      <c r="J53" s="95"/>
      <c r="K53" s="1317" t="s">
        <v>694</v>
      </c>
      <c r="L53" s="1326"/>
      <c r="M53" s="1326"/>
      <c r="N53" s="1326"/>
      <c r="O53" s="1326"/>
    </row>
  </sheetData>
  <mergeCells count="23">
    <mergeCell ref="L14:N14"/>
    <mergeCell ref="A2:O2"/>
    <mergeCell ref="A3:O3"/>
    <mergeCell ref="A13:A15"/>
    <mergeCell ref="B13:B15"/>
    <mergeCell ref="C13:C15"/>
    <mergeCell ref="D13:D15"/>
    <mergeCell ref="E13:H13"/>
    <mergeCell ref="I13:J13"/>
    <mergeCell ref="K13:N13"/>
    <mergeCell ref="O13:O15"/>
    <mergeCell ref="E14:E15"/>
    <mergeCell ref="F14:G14"/>
    <mergeCell ref="I14:I15"/>
    <mergeCell ref="J14:J15"/>
    <mergeCell ref="K14:K15"/>
    <mergeCell ref="K51:O51"/>
    <mergeCell ref="A52:C52"/>
    <mergeCell ref="D52:I52"/>
    <mergeCell ref="K52:O52"/>
    <mergeCell ref="A53:C53"/>
    <mergeCell ref="D53:I53"/>
    <mergeCell ref="K53:O53"/>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O21"/>
  <sheetViews>
    <sheetView showGridLines="0" workbookViewId="0">
      <selection activeCell="A18" sqref="A18:IV18"/>
    </sheetView>
  </sheetViews>
  <sheetFormatPr defaultRowHeight="15" x14ac:dyDescent="0.25"/>
  <cols>
    <col min="1" max="1" width="8.85546875" customWidth="1"/>
    <col min="2" max="2" width="35.85546875" customWidth="1"/>
    <col min="3" max="3" width="18.85546875" customWidth="1"/>
    <col min="4" max="5" width="22.85546875" customWidth="1"/>
    <col min="6" max="6" width="15.85546875" customWidth="1"/>
    <col min="7" max="15" width="9.42578125" customWidth="1"/>
  </cols>
  <sheetData>
    <row r="1" spans="1:15" ht="17.649999999999999" customHeight="1" x14ac:dyDescent="0.3">
      <c r="A1" s="808"/>
      <c r="B1" s="808"/>
      <c r="C1" s="808"/>
      <c r="D1" s="808"/>
      <c r="E1" s="808"/>
      <c r="F1" s="312" t="s">
        <v>729</v>
      </c>
      <c r="G1" s="151"/>
      <c r="H1" s="151"/>
      <c r="I1" s="151"/>
      <c r="J1" s="151"/>
      <c r="K1" s="151"/>
      <c r="L1" s="151"/>
      <c r="M1" s="151"/>
      <c r="N1" s="151"/>
      <c r="O1" s="151"/>
    </row>
    <row r="2" spans="1:15" ht="17.649999999999999" customHeight="1" x14ac:dyDescent="0.3">
      <c r="A2" s="1321" t="s">
        <v>1443</v>
      </c>
      <c r="B2" s="1326"/>
      <c r="C2" s="1326"/>
      <c r="D2" s="1326"/>
      <c r="E2" s="1326"/>
      <c r="F2" s="1326"/>
      <c r="G2" s="151"/>
      <c r="H2" s="151"/>
      <c r="I2" s="151"/>
      <c r="J2" s="151"/>
      <c r="K2" s="151"/>
      <c r="L2" s="151"/>
      <c r="M2" s="151"/>
      <c r="N2" s="151"/>
      <c r="O2" s="151"/>
    </row>
    <row r="3" spans="1:15" ht="17.649999999999999" customHeight="1" x14ac:dyDescent="0.3">
      <c r="A3" s="1338" t="s">
        <v>1215</v>
      </c>
      <c r="B3" s="1326"/>
      <c r="C3" s="1326"/>
      <c r="D3" s="1326"/>
      <c r="E3" s="1326"/>
      <c r="F3" s="1326"/>
      <c r="G3" s="1112"/>
      <c r="H3" s="1326"/>
      <c r="I3" s="1326"/>
      <c r="J3" s="1326"/>
      <c r="K3" s="1326"/>
      <c r="L3" s="1326"/>
      <c r="M3" s="1112"/>
      <c r="N3" s="1326"/>
      <c r="O3" s="1326"/>
    </row>
    <row r="4" spans="1:15" ht="17.649999999999999" customHeight="1" x14ac:dyDescent="0.3">
      <c r="A4" s="4"/>
      <c r="B4" s="4"/>
      <c r="C4" s="4"/>
      <c r="D4" s="4"/>
      <c r="E4" s="4"/>
      <c r="F4" s="4"/>
      <c r="G4" s="861"/>
      <c r="H4" s="861"/>
      <c r="I4" s="861"/>
      <c r="J4" s="861"/>
      <c r="K4" s="861"/>
      <c r="L4" s="861"/>
      <c r="M4" s="861"/>
      <c r="N4" s="861"/>
      <c r="O4" s="861"/>
    </row>
    <row r="5" spans="1:15" ht="17.649999999999999" customHeight="1" x14ac:dyDescent="0.3">
      <c r="A5" s="808"/>
      <c r="B5" s="808"/>
      <c r="C5" s="808"/>
      <c r="D5" s="808"/>
      <c r="E5" s="808"/>
      <c r="F5" s="808"/>
      <c r="G5" s="151"/>
      <c r="H5" s="151"/>
      <c r="I5" s="151"/>
      <c r="J5" s="151"/>
      <c r="K5" s="151"/>
      <c r="L5" s="151"/>
      <c r="M5" s="151"/>
      <c r="N5" s="151"/>
      <c r="O5" s="151"/>
    </row>
    <row r="6" spans="1:15" ht="35.25" customHeight="1" x14ac:dyDescent="0.25">
      <c r="A6" s="1330" t="s">
        <v>1323</v>
      </c>
      <c r="B6" s="1330" t="s">
        <v>217</v>
      </c>
      <c r="C6" s="1327" t="s">
        <v>1075</v>
      </c>
      <c r="D6" s="1329"/>
      <c r="E6" s="1330" t="s">
        <v>793</v>
      </c>
      <c r="F6" s="1330" t="s">
        <v>1056</v>
      </c>
      <c r="G6" s="151"/>
      <c r="H6" s="151"/>
      <c r="I6" s="151"/>
      <c r="J6" s="151"/>
      <c r="K6" s="151"/>
      <c r="L6" s="151"/>
      <c r="M6" s="151"/>
      <c r="N6" s="151"/>
      <c r="O6" s="151"/>
    </row>
    <row r="7" spans="1:15" ht="72" customHeight="1" x14ac:dyDescent="0.25">
      <c r="A7" s="1332"/>
      <c r="B7" s="1332"/>
      <c r="C7" s="148" t="s">
        <v>1433</v>
      </c>
      <c r="D7" s="148" t="s">
        <v>263</v>
      </c>
      <c r="E7" s="1332"/>
      <c r="F7" s="1332"/>
      <c r="G7" s="151"/>
      <c r="H7" s="151"/>
      <c r="I7" s="151"/>
      <c r="J7" s="151"/>
      <c r="K7" s="151"/>
      <c r="L7" s="151"/>
      <c r="M7" s="151"/>
      <c r="N7" s="151"/>
      <c r="O7" s="151"/>
    </row>
    <row r="8" spans="1:15" ht="15" customHeight="1" x14ac:dyDescent="0.25">
      <c r="A8" s="508" t="s">
        <v>22</v>
      </c>
      <c r="B8" s="508" t="s">
        <v>389</v>
      </c>
      <c r="C8" s="508" t="s">
        <v>769</v>
      </c>
      <c r="D8" s="508" t="s">
        <v>1188</v>
      </c>
      <c r="E8" s="508" t="s">
        <v>1169</v>
      </c>
      <c r="F8" s="508" t="s">
        <v>49</v>
      </c>
      <c r="G8" s="151"/>
      <c r="H8" s="151"/>
      <c r="I8" s="151"/>
      <c r="J8" s="151"/>
      <c r="K8" s="151"/>
      <c r="L8" s="151"/>
      <c r="M8" s="151"/>
      <c r="N8" s="151"/>
      <c r="O8" s="151"/>
    </row>
    <row r="9" spans="1:15" ht="15" customHeight="1" x14ac:dyDescent="0.25">
      <c r="A9" s="320" t="s">
        <v>915</v>
      </c>
      <c r="B9" s="297" t="s">
        <v>899</v>
      </c>
      <c r="C9" s="307"/>
      <c r="D9" s="307"/>
      <c r="E9" s="307"/>
      <c r="F9" s="307"/>
      <c r="G9" s="151"/>
      <c r="H9" s="151"/>
      <c r="I9" s="151"/>
      <c r="J9" s="151"/>
      <c r="K9" s="151"/>
      <c r="L9" s="151"/>
      <c r="M9" s="151"/>
      <c r="N9" s="151"/>
      <c r="O9" s="151"/>
    </row>
    <row r="10" spans="1:15" ht="15" customHeight="1" x14ac:dyDescent="0.25">
      <c r="A10" s="879">
        <v>1</v>
      </c>
      <c r="B10" s="335" t="s">
        <v>846</v>
      </c>
      <c r="C10" s="852"/>
      <c r="D10" s="852"/>
      <c r="E10" s="852"/>
      <c r="F10" s="852"/>
      <c r="G10" s="151"/>
      <c r="H10" s="151"/>
      <c r="I10" s="151"/>
      <c r="J10" s="151"/>
      <c r="K10" s="151"/>
      <c r="L10" s="151"/>
      <c r="M10" s="151"/>
      <c r="N10" s="151"/>
      <c r="O10" s="151"/>
    </row>
    <row r="11" spans="1:15" ht="15" customHeight="1" x14ac:dyDescent="0.25">
      <c r="A11" s="879">
        <v>2</v>
      </c>
      <c r="B11" s="335" t="s">
        <v>846</v>
      </c>
      <c r="C11" s="852"/>
      <c r="D11" s="852"/>
      <c r="E11" s="852"/>
      <c r="F11" s="852"/>
      <c r="G11" s="151"/>
      <c r="H11" s="151"/>
      <c r="I11" s="151"/>
      <c r="J11" s="151"/>
      <c r="K11" s="151"/>
      <c r="L11" s="151"/>
      <c r="M11" s="151"/>
      <c r="N11" s="151"/>
      <c r="O11" s="151"/>
    </row>
    <row r="12" spans="1:15" ht="15" customHeight="1" x14ac:dyDescent="0.25">
      <c r="A12" s="879"/>
      <c r="B12" s="852"/>
      <c r="C12" s="852"/>
      <c r="D12" s="852"/>
      <c r="E12" s="852"/>
      <c r="F12" s="852"/>
      <c r="G12" s="151"/>
      <c r="H12" s="151"/>
      <c r="I12" s="151"/>
      <c r="J12" s="151"/>
      <c r="K12" s="151"/>
      <c r="L12" s="151"/>
      <c r="M12" s="151"/>
      <c r="N12" s="151"/>
      <c r="O12" s="151"/>
    </row>
    <row r="13" spans="1:15" ht="15" customHeight="1" x14ac:dyDescent="0.25">
      <c r="A13" s="243" t="s">
        <v>587</v>
      </c>
      <c r="B13" s="220" t="s">
        <v>36</v>
      </c>
      <c r="C13" s="759"/>
      <c r="D13" s="759"/>
      <c r="E13" s="759"/>
      <c r="F13" s="759"/>
      <c r="G13" s="151"/>
      <c r="H13" s="151"/>
      <c r="I13" s="151"/>
      <c r="J13" s="151"/>
      <c r="K13" s="151"/>
      <c r="L13" s="151"/>
      <c r="M13" s="151"/>
      <c r="N13" s="151"/>
      <c r="O13" s="151"/>
    </row>
    <row r="14" spans="1:15" ht="15" customHeight="1" x14ac:dyDescent="0.25">
      <c r="A14" s="697"/>
      <c r="B14" s="124" t="s">
        <v>846</v>
      </c>
      <c r="C14" s="679"/>
      <c r="D14" s="679"/>
      <c r="E14" s="679"/>
      <c r="F14" s="679"/>
      <c r="G14" s="151"/>
      <c r="H14" s="151"/>
      <c r="I14" s="151"/>
      <c r="J14" s="151"/>
      <c r="K14" s="151"/>
      <c r="L14" s="151"/>
      <c r="M14" s="151"/>
      <c r="N14" s="151"/>
      <c r="O14" s="151"/>
    </row>
    <row r="15" spans="1:15" ht="15" customHeight="1" x14ac:dyDescent="0.25">
      <c r="A15" s="245"/>
      <c r="B15" s="245"/>
      <c r="C15" s="245"/>
      <c r="D15" s="245"/>
      <c r="E15" s="245"/>
      <c r="F15" s="245"/>
      <c r="G15" s="151"/>
      <c r="H15" s="151"/>
      <c r="I15" s="151"/>
      <c r="J15" s="151"/>
      <c r="K15" s="151"/>
      <c r="L15" s="151"/>
      <c r="M15" s="151"/>
      <c r="N15" s="151"/>
      <c r="O15" s="151"/>
    </row>
    <row r="16" spans="1:15" ht="15" customHeight="1" x14ac:dyDescent="0.25">
      <c r="A16" s="245"/>
      <c r="B16" s="245"/>
      <c r="C16" s="245"/>
      <c r="D16" s="245"/>
      <c r="E16" s="1334" t="s">
        <v>373</v>
      </c>
      <c r="F16" s="1326"/>
      <c r="G16" s="151"/>
      <c r="H16" s="151"/>
      <c r="I16" s="151"/>
      <c r="J16" s="151"/>
      <c r="K16" s="151"/>
      <c r="L16" s="151"/>
      <c r="M16" s="151"/>
      <c r="N16" s="151"/>
      <c r="O16" s="151"/>
    </row>
    <row r="17" spans="1:15" ht="15" customHeight="1" x14ac:dyDescent="0.25">
      <c r="A17" s="1335" t="s">
        <v>1014</v>
      </c>
      <c r="B17" s="1326"/>
      <c r="C17" s="1336"/>
      <c r="D17" s="1326"/>
      <c r="E17" s="1335" t="s">
        <v>1318</v>
      </c>
      <c r="F17" s="1326"/>
      <c r="G17" s="151"/>
      <c r="H17" s="151"/>
      <c r="I17" s="151"/>
      <c r="J17" s="151"/>
      <c r="K17" s="151"/>
      <c r="L17" s="151"/>
      <c r="M17" s="151"/>
      <c r="N17" s="151"/>
      <c r="O17" s="151"/>
    </row>
    <row r="18" spans="1:15" ht="15" customHeight="1" x14ac:dyDescent="0.25">
      <c r="A18" s="1334" t="s">
        <v>694</v>
      </c>
      <c r="B18" s="1326"/>
      <c r="C18" s="1337"/>
      <c r="D18" s="1326"/>
      <c r="E18" s="1334" t="s">
        <v>694</v>
      </c>
      <c r="F18" s="1326"/>
      <c r="G18" s="151"/>
      <c r="H18" s="151"/>
      <c r="I18" s="151"/>
      <c r="J18" s="151"/>
      <c r="K18" s="151"/>
      <c r="L18" s="151"/>
      <c r="M18" s="151"/>
      <c r="N18" s="151"/>
      <c r="O18" s="151"/>
    </row>
    <row r="19" spans="1:15" ht="15" customHeight="1" x14ac:dyDescent="0.25">
      <c r="A19" s="245"/>
      <c r="B19" s="245"/>
      <c r="C19" s="245"/>
      <c r="D19" s="245"/>
      <c r="E19" s="245"/>
      <c r="F19" s="245"/>
      <c r="G19" s="151"/>
      <c r="H19" s="151"/>
      <c r="I19" s="151"/>
      <c r="J19" s="151"/>
      <c r="K19" s="151"/>
      <c r="L19" s="151"/>
      <c r="M19" s="151"/>
      <c r="N19" s="151"/>
      <c r="O19" s="151"/>
    </row>
    <row r="20" spans="1:15" ht="15" customHeight="1" x14ac:dyDescent="0.25">
      <c r="A20" s="245"/>
      <c r="B20" s="245"/>
      <c r="C20" s="245"/>
      <c r="D20" s="245"/>
      <c r="E20" s="245"/>
      <c r="F20" s="245"/>
      <c r="G20" s="151"/>
      <c r="H20" s="151"/>
      <c r="I20" s="151"/>
      <c r="J20" s="151"/>
      <c r="K20" s="151"/>
      <c r="L20" s="151"/>
      <c r="M20" s="151"/>
      <c r="N20" s="151"/>
      <c r="O20" s="151"/>
    </row>
    <row r="21" spans="1:15" ht="15" customHeight="1" x14ac:dyDescent="0.25">
      <c r="A21" s="245"/>
      <c r="B21" s="245"/>
      <c r="C21" s="245"/>
      <c r="D21" s="245"/>
      <c r="E21" s="245"/>
      <c r="F21" s="245"/>
      <c r="G21" s="151"/>
      <c r="H21" s="151"/>
      <c r="I21" s="151"/>
      <c r="J21" s="151"/>
      <c r="K21" s="151"/>
      <c r="L21" s="151"/>
      <c r="M21" s="151"/>
      <c r="N21" s="151"/>
      <c r="O21" s="151"/>
    </row>
  </sheetData>
  <mergeCells count="16">
    <mergeCell ref="A2:F2"/>
    <mergeCell ref="A3:F3"/>
    <mergeCell ref="G3:L3"/>
    <mergeCell ref="M3:O3"/>
    <mergeCell ref="A6:A7"/>
    <mergeCell ref="B6:B7"/>
    <mergeCell ref="C6:D6"/>
    <mergeCell ref="E6:E7"/>
    <mergeCell ref="F6:F7"/>
    <mergeCell ref="E16:F16"/>
    <mergeCell ref="A17:B17"/>
    <mergeCell ref="C17:D17"/>
    <mergeCell ref="E17:F17"/>
    <mergeCell ref="A18:B18"/>
    <mergeCell ref="C18:D18"/>
    <mergeCell ref="E18:F18"/>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R39"/>
  <sheetViews>
    <sheetView showGridLines="0" workbookViewId="0">
      <selection activeCell="A18" sqref="A18:IV18"/>
    </sheetView>
  </sheetViews>
  <sheetFormatPr defaultRowHeight="15" x14ac:dyDescent="0.25"/>
  <cols>
    <col min="1" max="1" width="5.85546875" customWidth="1"/>
    <col min="2" max="2" width="11.85546875" customWidth="1"/>
    <col min="3" max="3" width="50.85546875" customWidth="1"/>
    <col min="4" max="4" width="7.85546875" customWidth="1"/>
    <col min="5" max="8" width="12.85546875" customWidth="1"/>
    <col min="9" max="10" width="11.85546875" customWidth="1"/>
    <col min="11" max="13" width="13.85546875" customWidth="1"/>
    <col min="14" max="14" width="11.85546875" customWidth="1"/>
    <col min="15" max="18" width="9.42578125" customWidth="1"/>
  </cols>
  <sheetData>
    <row r="1" spans="1:18" ht="17.649999999999999" customHeight="1" x14ac:dyDescent="0.3">
      <c r="A1" s="869"/>
      <c r="B1" s="869"/>
      <c r="C1" s="869"/>
      <c r="D1" s="869"/>
      <c r="E1" s="869"/>
      <c r="F1" s="869"/>
      <c r="G1" s="869"/>
      <c r="H1" s="869"/>
      <c r="I1" s="869"/>
      <c r="J1" s="869"/>
      <c r="K1" s="869"/>
      <c r="L1" s="869"/>
      <c r="M1" s="869"/>
      <c r="N1" s="312" t="s">
        <v>206</v>
      </c>
      <c r="O1" s="151"/>
      <c r="P1" s="151"/>
      <c r="Q1" s="151"/>
      <c r="R1" s="151"/>
    </row>
    <row r="2" spans="1:18" ht="17.649999999999999" customHeight="1" x14ac:dyDescent="0.3">
      <c r="A2" s="1321" t="s">
        <v>1422</v>
      </c>
      <c r="B2" s="1326"/>
      <c r="C2" s="1326"/>
      <c r="D2" s="1326"/>
      <c r="E2" s="1326"/>
      <c r="F2" s="1326"/>
      <c r="G2" s="1326"/>
      <c r="H2" s="1326"/>
      <c r="I2" s="1326"/>
      <c r="J2" s="1326"/>
      <c r="K2" s="1326"/>
      <c r="L2" s="1326"/>
      <c r="M2" s="1326"/>
      <c r="N2" s="1326"/>
      <c r="O2" s="151"/>
      <c r="P2" s="151"/>
      <c r="Q2" s="151"/>
      <c r="R2" s="151"/>
    </row>
    <row r="3" spans="1:18" ht="17.649999999999999" customHeight="1" x14ac:dyDescent="0.3">
      <c r="A3" s="1338" t="s">
        <v>1215</v>
      </c>
      <c r="B3" s="1326"/>
      <c r="C3" s="1326"/>
      <c r="D3" s="1326"/>
      <c r="E3" s="1326"/>
      <c r="F3" s="1326"/>
      <c r="G3" s="1326"/>
      <c r="H3" s="1326"/>
      <c r="I3" s="1326"/>
      <c r="J3" s="1326"/>
      <c r="K3" s="1326"/>
      <c r="L3" s="1326"/>
      <c r="M3" s="1326"/>
      <c r="N3" s="1326"/>
      <c r="O3" s="72"/>
      <c r="P3" s="72"/>
      <c r="Q3" s="72"/>
      <c r="R3" s="72"/>
    </row>
    <row r="4" spans="1:18" ht="15" customHeight="1" x14ac:dyDescent="0.25">
      <c r="A4" s="625" t="s">
        <v>1151</v>
      </c>
      <c r="B4" s="245"/>
      <c r="C4" s="245"/>
      <c r="D4" s="245"/>
      <c r="E4" s="245"/>
      <c r="F4" s="245"/>
      <c r="G4" s="245"/>
      <c r="H4" s="245"/>
      <c r="I4" s="245"/>
      <c r="J4" s="245"/>
      <c r="K4" s="245"/>
      <c r="L4" s="245"/>
      <c r="M4" s="245"/>
      <c r="N4" s="245"/>
      <c r="O4" s="151"/>
      <c r="P4" s="151"/>
      <c r="Q4" s="151"/>
      <c r="R4" s="151"/>
    </row>
    <row r="5" spans="1:18" ht="15" customHeight="1" x14ac:dyDescent="0.25">
      <c r="A5" s="625" t="s">
        <v>1162</v>
      </c>
      <c r="B5" s="245"/>
      <c r="C5" s="245"/>
      <c r="D5" s="245"/>
      <c r="E5" s="245"/>
      <c r="F5" s="245"/>
      <c r="G5" s="245"/>
      <c r="H5" s="245"/>
      <c r="I5" s="245"/>
      <c r="J5" s="245"/>
      <c r="K5" s="245"/>
      <c r="L5" s="245"/>
      <c r="M5" s="245"/>
      <c r="N5" s="245"/>
      <c r="O5" s="151"/>
      <c r="P5" s="151"/>
      <c r="Q5" s="151"/>
      <c r="R5" s="151"/>
    </row>
    <row r="6" spans="1:18" ht="15" customHeight="1" x14ac:dyDescent="0.25">
      <c r="A6" s="625" t="s">
        <v>1225</v>
      </c>
      <c r="B6" s="245"/>
      <c r="C6" s="245"/>
      <c r="D6" s="625" t="s">
        <v>773</v>
      </c>
      <c r="E6" s="245"/>
      <c r="F6" s="245"/>
      <c r="G6" s="245"/>
      <c r="H6" s="245"/>
      <c r="I6" s="245"/>
      <c r="J6" s="245"/>
      <c r="K6" s="245"/>
      <c r="L6" s="245"/>
      <c r="M6" s="245"/>
      <c r="N6" s="245"/>
      <c r="O6" s="151"/>
      <c r="P6" s="151"/>
      <c r="Q6" s="151"/>
      <c r="R6" s="151"/>
    </row>
    <row r="7" spans="1:18" ht="15" customHeight="1" x14ac:dyDescent="0.25">
      <c r="A7" s="625" t="s">
        <v>1347</v>
      </c>
      <c r="B7" s="245"/>
      <c r="C7" s="245"/>
      <c r="D7" s="245"/>
      <c r="E7" s="245"/>
      <c r="F7" s="245"/>
      <c r="G7" s="245"/>
      <c r="H7" s="245"/>
      <c r="I7" s="245"/>
      <c r="J7" s="245"/>
      <c r="K7" s="245"/>
      <c r="L7" s="245"/>
      <c r="M7" s="245"/>
      <c r="N7" s="245"/>
      <c r="O7" s="151"/>
      <c r="P7" s="151"/>
      <c r="Q7" s="151"/>
      <c r="R7" s="151"/>
    </row>
    <row r="8" spans="1:18" ht="15" customHeight="1" x14ac:dyDescent="0.25">
      <c r="A8" s="625" t="s">
        <v>584</v>
      </c>
      <c r="B8" s="245"/>
      <c r="C8" s="245"/>
      <c r="D8" s="245"/>
      <c r="E8" s="245"/>
      <c r="F8" s="245"/>
      <c r="G8" s="245"/>
      <c r="H8" s="245"/>
      <c r="I8" s="245"/>
      <c r="J8" s="245"/>
      <c r="K8" s="245"/>
      <c r="L8" s="245"/>
      <c r="M8" s="245"/>
      <c r="N8" s="245"/>
      <c r="O8" s="151"/>
      <c r="P8" s="151"/>
      <c r="Q8" s="151"/>
      <c r="R8" s="151"/>
    </row>
    <row r="9" spans="1:18" ht="15" customHeight="1" x14ac:dyDescent="0.25">
      <c r="A9" s="625" t="s">
        <v>1410</v>
      </c>
      <c r="B9" s="245"/>
      <c r="C9" s="245"/>
      <c r="D9" s="245"/>
      <c r="E9" s="245"/>
      <c r="F9" s="245"/>
      <c r="G9" s="245"/>
      <c r="H9" s="245"/>
      <c r="I9" s="245"/>
      <c r="J9" s="245"/>
      <c r="K9" s="245"/>
      <c r="L9" s="245"/>
      <c r="M9" s="245"/>
      <c r="N9" s="245"/>
      <c r="O9" s="151"/>
      <c r="P9" s="151"/>
      <c r="Q9" s="151"/>
      <c r="R9" s="151"/>
    </row>
    <row r="10" spans="1:18" ht="15" customHeight="1" x14ac:dyDescent="0.25">
      <c r="A10" s="625" t="s">
        <v>696</v>
      </c>
      <c r="B10" s="245"/>
      <c r="C10" s="245"/>
      <c r="D10" s="245"/>
      <c r="E10" s="245"/>
      <c r="F10" s="245"/>
      <c r="G10" s="245"/>
      <c r="H10" s="245"/>
      <c r="I10" s="245"/>
      <c r="J10" s="245"/>
      <c r="K10" s="245"/>
      <c r="L10" s="245"/>
      <c r="M10" s="245"/>
      <c r="N10" s="245"/>
      <c r="O10" s="151"/>
      <c r="P10" s="151"/>
      <c r="Q10" s="151"/>
      <c r="R10" s="151"/>
    </row>
    <row r="11" spans="1:18" ht="15" customHeight="1" x14ac:dyDescent="0.25">
      <c r="A11" s="625" t="s">
        <v>777</v>
      </c>
      <c r="B11" s="245"/>
      <c r="C11" s="245"/>
      <c r="D11" s="245"/>
      <c r="E11" s="245"/>
      <c r="F11" s="245"/>
      <c r="G11" s="245"/>
      <c r="H11" s="245"/>
      <c r="I11" s="245"/>
      <c r="J11" s="245"/>
      <c r="K11" s="245"/>
      <c r="L11" s="245"/>
      <c r="M11" s="245"/>
      <c r="N11" s="245"/>
      <c r="O11" s="151"/>
      <c r="P11" s="151"/>
      <c r="Q11" s="151"/>
      <c r="R11" s="151"/>
    </row>
    <row r="12" spans="1:18" ht="15" customHeight="1" x14ac:dyDescent="0.25">
      <c r="A12" s="245"/>
      <c r="B12" s="245"/>
      <c r="C12" s="245"/>
      <c r="D12" s="245"/>
      <c r="E12" s="245"/>
      <c r="F12" s="245"/>
      <c r="G12" s="245"/>
      <c r="H12" s="245"/>
      <c r="I12" s="245"/>
      <c r="J12" s="245"/>
      <c r="K12" s="245"/>
      <c r="L12" s="245"/>
      <c r="M12" s="245"/>
      <c r="N12" s="245"/>
      <c r="O12" s="151"/>
      <c r="P12" s="151"/>
      <c r="Q12" s="151"/>
      <c r="R12" s="151"/>
    </row>
    <row r="13" spans="1:18" ht="16.5" customHeight="1" x14ac:dyDescent="0.25">
      <c r="A13" s="1330" t="s">
        <v>1323</v>
      </c>
      <c r="B13" s="1330" t="s">
        <v>873</v>
      </c>
      <c r="C13" s="1330" t="s">
        <v>1462</v>
      </c>
      <c r="D13" s="1330" t="s">
        <v>60</v>
      </c>
      <c r="E13" s="1327" t="s">
        <v>599</v>
      </c>
      <c r="F13" s="1328"/>
      <c r="G13" s="1328"/>
      <c r="H13" s="1329"/>
      <c r="I13" s="1327" t="s">
        <v>692</v>
      </c>
      <c r="J13" s="1329"/>
      <c r="K13" s="1340" t="s">
        <v>898</v>
      </c>
      <c r="L13" s="1341"/>
      <c r="M13" s="1342"/>
      <c r="N13" s="1330" t="s">
        <v>1056</v>
      </c>
      <c r="O13" s="151"/>
      <c r="P13" s="151"/>
      <c r="Q13" s="151"/>
      <c r="R13" s="151"/>
    </row>
    <row r="14" spans="1:18" ht="16.5" customHeight="1" x14ac:dyDescent="0.25">
      <c r="A14" s="1331"/>
      <c r="B14" s="1331"/>
      <c r="C14" s="1331"/>
      <c r="D14" s="1331"/>
      <c r="E14" s="1330" t="s">
        <v>585</v>
      </c>
      <c r="F14" s="1327" t="s">
        <v>1170</v>
      </c>
      <c r="G14" s="1328"/>
      <c r="H14" s="1329"/>
      <c r="I14" s="1330" t="s">
        <v>692</v>
      </c>
      <c r="J14" s="1330" t="s">
        <v>48</v>
      </c>
      <c r="K14" s="1343"/>
      <c r="L14" s="1344"/>
      <c r="M14" s="1345"/>
      <c r="N14" s="1331"/>
      <c r="O14" s="151"/>
      <c r="P14" s="151"/>
      <c r="Q14" s="151"/>
      <c r="R14" s="151"/>
    </row>
    <row r="15" spans="1:18" ht="28.9" customHeight="1" x14ac:dyDescent="0.25">
      <c r="A15" s="1332"/>
      <c r="B15" s="1332"/>
      <c r="C15" s="1332"/>
      <c r="D15" s="1332"/>
      <c r="E15" s="1332"/>
      <c r="F15" s="148" t="s">
        <v>951</v>
      </c>
      <c r="G15" s="148" t="s">
        <v>0</v>
      </c>
      <c r="H15" s="148" t="s">
        <v>417</v>
      </c>
      <c r="I15" s="1332"/>
      <c r="J15" s="1332"/>
      <c r="K15" s="148" t="s">
        <v>951</v>
      </c>
      <c r="L15" s="148" t="s">
        <v>0</v>
      </c>
      <c r="M15" s="148" t="s">
        <v>417</v>
      </c>
      <c r="N15" s="1332"/>
      <c r="O15" s="151"/>
      <c r="P15" s="151"/>
      <c r="Q15" s="151"/>
      <c r="R15" s="151"/>
    </row>
    <row r="16" spans="1:18" ht="15" customHeight="1" x14ac:dyDescent="0.25">
      <c r="A16" s="508" t="s">
        <v>22</v>
      </c>
      <c r="B16" s="508" t="s">
        <v>389</v>
      </c>
      <c r="C16" s="508" t="s">
        <v>769</v>
      </c>
      <c r="D16" s="508" t="s">
        <v>1188</v>
      </c>
      <c r="E16" s="508" t="s">
        <v>1169</v>
      </c>
      <c r="F16" s="508" t="s">
        <v>49</v>
      </c>
      <c r="G16" s="508" t="s">
        <v>425</v>
      </c>
      <c r="H16" s="508" t="s">
        <v>821</v>
      </c>
      <c r="I16" s="508" t="s">
        <v>798</v>
      </c>
      <c r="J16" s="508" t="s">
        <v>276</v>
      </c>
      <c r="K16" s="508" t="s">
        <v>658</v>
      </c>
      <c r="L16" s="508" t="s">
        <v>1084</v>
      </c>
      <c r="M16" s="508" t="s">
        <v>1058</v>
      </c>
      <c r="N16" s="508" t="s">
        <v>1417</v>
      </c>
      <c r="O16" s="151"/>
      <c r="P16" s="151"/>
      <c r="Q16" s="151"/>
      <c r="R16" s="151"/>
    </row>
    <row r="17" spans="1:18" ht="15" customHeight="1" x14ac:dyDescent="0.25">
      <c r="A17" s="108"/>
      <c r="B17" s="108"/>
      <c r="C17" s="108"/>
      <c r="D17" s="108"/>
      <c r="E17" s="108"/>
      <c r="F17" s="108"/>
      <c r="G17" s="108"/>
      <c r="H17" s="108"/>
      <c r="I17" s="108"/>
      <c r="J17" s="108"/>
      <c r="K17" s="108"/>
      <c r="L17" s="108"/>
      <c r="M17" s="108"/>
      <c r="N17" s="108"/>
      <c r="O17" s="151"/>
      <c r="P17" s="151"/>
      <c r="Q17" s="151"/>
      <c r="R17" s="151"/>
    </row>
    <row r="18" spans="1:18" ht="15" customHeight="1" x14ac:dyDescent="0.25">
      <c r="A18" s="576"/>
      <c r="B18" s="576"/>
      <c r="C18" s="576"/>
      <c r="D18" s="576"/>
      <c r="E18" s="576"/>
      <c r="F18" s="576"/>
      <c r="G18" s="576"/>
      <c r="H18" s="576"/>
      <c r="I18" s="576"/>
      <c r="J18" s="576"/>
      <c r="K18" s="576"/>
      <c r="L18" s="576"/>
      <c r="M18" s="576"/>
      <c r="N18" s="576"/>
      <c r="O18" s="151"/>
      <c r="P18" s="151"/>
      <c r="Q18" s="151"/>
      <c r="R18" s="151"/>
    </row>
    <row r="19" spans="1:18" ht="15" customHeight="1" x14ac:dyDescent="0.25">
      <c r="A19" s="576"/>
      <c r="B19" s="576"/>
      <c r="C19" s="576"/>
      <c r="D19" s="576"/>
      <c r="E19" s="576"/>
      <c r="F19" s="576"/>
      <c r="G19" s="576"/>
      <c r="H19" s="576"/>
      <c r="I19" s="576"/>
      <c r="J19" s="576"/>
      <c r="K19" s="576"/>
      <c r="L19" s="576"/>
      <c r="M19" s="576"/>
      <c r="N19" s="576"/>
      <c r="O19" s="151"/>
      <c r="P19" s="151"/>
      <c r="Q19" s="151"/>
      <c r="R19" s="151"/>
    </row>
    <row r="20" spans="1:18" ht="15" customHeight="1" x14ac:dyDescent="0.25">
      <c r="A20" s="576"/>
      <c r="B20" s="576"/>
      <c r="C20" s="576"/>
      <c r="D20" s="576"/>
      <c r="E20" s="576"/>
      <c r="F20" s="576"/>
      <c r="G20" s="576"/>
      <c r="H20" s="576"/>
      <c r="I20" s="576"/>
      <c r="J20" s="576"/>
      <c r="K20" s="576"/>
      <c r="L20" s="576"/>
      <c r="M20" s="576"/>
      <c r="N20" s="576"/>
      <c r="O20" s="151"/>
      <c r="P20" s="151"/>
      <c r="Q20" s="151"/>
      <c r="R20" s="151"/>
    </row>
    <row r="21" spans="1:18" ht="15" customHeight="1" x14ac:dyDescent="0.25">
      <c r="A21" s="576"/>
      <c r="B21" s="576"/>
      <c r="C21" s="576"/>
      <c r="D21" s="576"/>
      <c r="E21" s="576"/>
      <c r="F21" s="576"/>
      <c r="G21" s="576"/>
      <c r="H21" s="576"/>
      <c r="I21" s="576"/>
      <c r="J21" s="576"/>
      <c r="K21" s="576"/>
      <c r="L21" s="576"/>
      <c r="M21" s="576"/>
      <c r="N21" s="576"/>
      <c r="O21" s="151"/>
      <c r="P21" s="151"/>
      <c r="Q21" s="151"/>
      <c r="R21" s="151"/>
    </row>
    <row r="22" spans="1:18" ht="15" customHeight="1" x14ac:dyDescent="0.25">
      <c r="A22" s="576"/>
      <c r="B22" s="576"/>
      <c r="C22" s="576"/>
      <c r="D22" s="576"/>
      <c r="E22" s="576"/>
      <c r="F22" s="576"/>
      <c r="G22" s="576"/>
      <c r="H22" s="576"/>
      <c r="I22" s="576"/>
      <c r="J22" s="576"/>
      <c r="K22" s="576"/>
      <c r="L22" s="576"/>
      <c r="M22" s="576"/>
      <c r="N22" s="576"/>
      <c r="O22" s="151"/>
      <c r="P22" s="151"/>
      <c r="Q22" s="151"/>
      <c r="R22" s="151"/>
    </row>
    <row r="23" spans="1:18" ht="15" customHeight="1" x14ac:dyDescent="0.25">
      <c r="A23" s="576"/>
      <c r="B23" s="576"/>
      <c r="C23" s="576"/>
      <c r="D23" s="576"/>
      <c r="E23" s="576"/>
      <c r="F23" s="576"/>
      <c r="G23" s="576"/>
      <c r="H23" s="576"/>
      <c r="I23" s="576"/>
      <c r="J23" s="576"/>
      <c r="K23" s="576"/>
      <c r="L23" s="576"/>
      <c r="M23" s="576"/>
      <c r="N23" s="576"/>
      <c r="O23" s="151"/>
      <c r="P23" s="151"/>
      <c r="Q23" s="151"/>
      <c r="R23" s="151"/>
    </row>
    <row r="24" spans="1:18" ht="15" customHeight="1" x14ac:dyDescent="0.25">
      <c r="A24" s="576"/>
      <c r="B24" s="576"/>
      <c r="C24" s="576"/>
      <c r="D24" s="576"/>
      <c r="E24" s="576"/>
      <c r="F24" s="576"/>
      <c r="G24" s="576"/>
      <c r="H24" s="576"/>
      <c r="I24" s="576"/>
      <c r="J24" s="576"/>
      <c r="K24" s="576"/>
      <c r="L24" s="576"/>
      <c r="M24" s="576"/>
      <c r="N24" s="576"/>
      <c r="O24" s="151"/>
      <c r="P24" s="151"/>
      <c r="Q24" s="151"/>
      <c r="R24" s="151"/>
    </row>
    <row r="25" spans="1:18" ht="15" customHeight="1" x14ac:dyDescent="0.25">
      <c r="A25" s="741"/>
      <c r="B25" s="741"/>
      <c r="C25" s="741"/>
      <c r="D25" s="741"/>
      <c r="E25" s="741"/>
      <c r="F25" s="741"/>
      <c r="G25" s="741"/>
      <c r="H25" s="741"/>
      <c r="I25" s="741"/>
      <c r="J25" s="741"/>
      <c r="K25" s="741"/>
      <c r="L25" s="741"/>
      <c r="M25" s="741"/>
      <c r="N25" s="741"/>
      <c r="O25" s="151"/>
      <c r="P25" s="151"/>
      <c r="Q25" s="151"/>
      <c r="R25" s="151"/>
    </row>
    <row r="26" spans="1:18" ht="15" customHeight="1" x14ac:dyDescent="0.25">
      <c r="A26" s="553"/>
      <c r="B26" s="553"/>
      <c r="C26" s="901" t="s">
        <v>483</v>
      </c>
      <c r="D26" s="553"/>
      <c r="E26" s="553"/>
      <c r="F26" s="553"/>
      <c r="G26" s="553"/>
      <c r="H26" s="553"/>
      <c r="I26" s="553"/>
      <c r="J26" s="553"/>
      <c r="K26" s="730">
        <f t="shared" ref="K26:L26" si="0">SUM(K17:K25)</f>
        <v>0</v>
      </c>
      <c r="L26" s="730">
        <f t="shared" si="0"/>
        <v>0</v>
      </c>
      <c r="M26" s="730"/>
      <c r="N26" s="730">
        <f>SUM(N17:N25)</f>
        <v>0</v>
      </c>
      <c r="O26" s="151"/>
      <c r="P26" s="151"/>
      <c r="Q26" s="151"/>
      <c r="R26" s="151"/>
    </row>
    <row r="27" spans="1:18" ht="15" customHeight="1" x14ac:dyDescent="0.25">
      <c r="A27" s="245"/>
      <c r="B27" s="245"/>
      <c r="C27" s="245"/>
      <c r="D27" s="245"/>
      <c r="E27" s="245"/>
      <c r="F27" s="245"/>
      <c r="G27" s="245"/>
      <c r="H27" s="245"/>
      <c r="I27" s="245"/>
      <c r="J27" s="245"/>
      <c r="K27" s="245"/>
      <c r="L27" s="245"/>
      <c r="M27" s="245"/>
      <c r="N27" s="245"/>
      <c r="O27" s="151"/>
      <c r="P27" s="151"/>
      <c r="Q27" s="151"/>
      <c r="R27" s="151"/>
    </row>
    <row r="28" spans="1:18" ht="15" customHeight="1" x14ac:dyDescent="0.25">
      <c r="A28" s="625" t="s">
        <v>856</v>
      </c>
      <c r="B28" s="245"/>
      <c r="C28" s="245"/>
      <c r="D28" s="245"/>
      <c r="E28" s="245"/>
      <c r="F28" s="245"/>
      <c r="G28" s="245"/>
      <c r="H28" s="245"/>
      <c r="I28" s="245"/>
      <c r="J28" s="245"/>
      <c r="K28" s="245"/>
      <c r="L28" s="245"/>
      <c r="M28" s="245"/>
      <c r="N28" s="245"/>
      <c r="O28" s="151"/>
      <c r="P28" s="151"/>
      <c r="Q28" s="151"/>
      <c r="R28" s="151"/>
    </row>
    <row r="29" spans="1:18" ht="15" customHeight="1" x14ac:dyDescent="0.25">
      <c r="A29" s="625" t="s">
        <v>948</v>
      </c>
      <c r="B29" s="245"/>
      <c r="C29" s="245"/>
      <c r="D29" s="245"/>
      <c r="E29" s="245"/>
      <c r="F29" s="245"/>
      <c r="G29" s="245"/>
      <c r="H29" s="245"/>
      <c r="I29" s="245"/>
      <c r="J29" s="245"/>
      <c r="K29" s="245"/>
      <c r="L29" s="245"/>
      <c r="M29" s="245"/>
      <c r="N29" s="245"/>
      <c r="O29" s="151"/>
      <c r="P29" s="151"/>
      <c r="Q29" s="151"/>
      <c r="R29" s="151"/>
    </row>
    <row r="30" spans="1:18" ht="15" customHeight="1" x14ac:dyDescent="0.25">
      <c r="A30" s="625" t="s">
        <v>903</v>
      </c>
      <c r="B30" s="245"/>
      <c r="C30" s="245"/>
      <c r="D30" s="245"/>
      <c r="E30" s="245"/>
      <c r="F30" s="245"/>
      <c r="G30" s="245"/>
      <c r="H30" s="245"/>
      <c r="I30" s="245"/>
      <c r="J30" s="245"/>
      <c r="K30" s="245"/>
      <c r="L30" s="245"/>
      <c r="M30" s="245"/>
      <c r="N30" s="245"/>
      <c r="O30" s="151"/>
      <c r="P30" s="151"/>
      <c r="Q30" s="151"/>
      <c r="R30" s="151"/>
    </row>
    <row r="31" spans="1:18" ht="15" customHeight="1" x14ac:dyDescent="0.25">
      <c r="A31" s="625" t="s">
        <v>1190</v>
      </c>
      <c r="B31" s="245"/>
      <c r="C31" s="245"/>
      <c r="D31" s="245"/>
      <c r="E31" s="245"/>
      <c r="F31" s="245"/>
      <c r="G31" s="245"/>
      <c r="H31" s="245"/>
      <c r="I31" s="245"/>
      <c r="J31" s="245"/>
      <c r="K31" s="245"/>
      <c r="L31" s="245"/>
      <c r="M31" s="245"/>
      <c r="N31" s="245"/>
      <c r="O31" s="151"/>
      <c r="P31" s="151"/>
      <c r="Q31" s="151"/>
      <c r="R31" s="151"/>
    </row>
    <row r="32" spans="1:18" ht="15" customHeight="1" x14ac:dyDescent="0.25">
      <c r="A32" s="625" t="s">
        <v>1132</v>
      </c>
      <c r="B32" s="245"/>
      <c r="C32" s="245"/>
      <c r="D32" s="245"/>
      <c r="E32" s="245"/>
      <c r="F32" s="245"/>
      <c r="G32" s="245"/>
      <c r="H32" s="245"/>
      <c r="I32" s="245"/>
      <c r="J32" s="245"/>
      <c r="K32" s="245"/>
      <c r="L32" s="245"/>
      <c r="M32" s="245"/>
      <c r="N32" s="245"/>
      <c r="O32" s="151"/>
      <c r="P32" s="151"/>
      <c r="Q32" s="151"/>
      <c r="R32" s="151"/>
    </row>
    <row r="33" spans="1:18" ht="15" customHeight="1" x14ac:dyDescent="0.25">
      <c r="A33" s="625" t="s">
        <v>130</v>
      </c>
      <c r="B33" s="245"/>
      <c r="C33" s="245"/>
      <c r="D33" s="245"/>
      <c r="E33" s="245"/>
      <c r="F33" s="245"/>
      <c r="G33" s="245"/>
      <c r="H33" s="245"/>
      <c r="I33" s="245"/>
      <c r="J33" s="245"/>
      <c r="K33" s="245"/>
      <c r="L33" s="245"/>
      <c r="M33" s="245"/>
      <c r="N33" s="245"/>
      <c r="O33" s="151"/>
      <c r="P33" s="151"/>
      <c r="Q33" s="151"/>
      <c r="R33" s="151"/>
    </row>
    <row r="34" spans="1:18" ht="15" customHeight="1" x14ac:dyDescent="0.25">
      <c r="A34" s="625" t="s">
        <v>721</v>
      </c>
      <c r="B34" s="245"/>
      <c r="C34" s="245"/>
      <c r="D34" s="245"/>
      <c r="E34" s="245"/>
      <c r="F34" s="245"/>
      <c r="G34" s="245"/>
      <c r="H34" s="245"/>
      <c r="I34" s="245"/>
      <c r="J34" s="245"/>
      <c r="K34" s="245"/>
      <c r="L34" s="245"/>
      <c r="M34" s="245"/>
      <c r="N34" s="245"/>
      <c r="O34" s="151"/>
      <c r="P34" s="151"/>
      <c r="Q34" s="151"/>
      <c r="R34" s="151"/>
    </row>
    <row r="35" spans="1:18" ht="15" customHeight="1" x14ac:dyDescent="0.25">
      <c r="A35" s="625" t="s">
        <v>1154</v>
      </c>
      <c r="B35" s="245"/>
      <c r="C35" s="245"/>
      <c r="D35" s="245"/>
      <c r="E35" s="245"/>
      <c r="F35" s="245"/>
      <c r="G35" s="245"/>
      <c r="H35" s="245"/>
      <c r="I35" s="245"/>
      <c r="J35" s="245"/>
      <c r="K35" s="245"/>
      <c r="L35" s="245"/>
      <c r="M35" s="245"/>
      <c r="N35" s="245"/>
      <c r="O35" s="151"/>
      <c r="P35" s="151"/>
      <c r="Q35" s="151"/>
      <c r="R35" s="151"/>
    </row>
    <row r="36" spans="1:18" ht="15" customHeight="1" x14ac:dyDescent="0.25">
      <c r="A36" s="245"/>
      <c r="B36" s="245"/>
      <c r="C36" s="245"/>
      <c r="D36" s="245"/>
      <c r="E36" s="245"/>
      <c r="F36" s="245"/>
      <c r="G36" s="245"/>
      <c r="H36" s="245"/>
      <c r="I36" s="245"/>
      <c r="J36" s="245"/>
      <c r="K36" s="245"/>
      <c r="L36" s="245"/>
      <c r="M36" s="245"/>
      <c r="N36" s="245"/>
      <c r="O36" s="151"/>
      <c r="P36" s="151"/>
      <c r="Q36" s="151"/>
      <c r="R36" s="151"/>
    </row>
    <row r="37" spans="1:18" ht="15" customHeight="1" x14ac:dyDescent="0.25">
      <c r="A37" s="245"/>
      <c r="B37" s="245"/>
      <c r="C37" s="245"/>
      <c r="D37" s="245"/>
      <c r="E37" s="245"/>
      <c r="F37" s="245"/>
      <c r="G37" s="245"/>
      <c r="H37" s="245"/>
      <c r="I37" s="245"/>
      <c r="J37" s="245"/>
      <c r="K37" s="1339" t="s">
        <v>373</v>
      </c>
      <c r="L37" s="1326"/>
      <c r="M37" s="1326"/>
      <c r="N37" s="1326"/>
      <c r="O37" s="151"/>
      <c r="P37" s="151"/>
      <c r="Q37" s="151"/>
      <c r="R37" s="151"/>
    </row>
    <row r="38" spans="1:18" ht="17.649999999999999" customHeight="1" x14ac:dyDescent="0.3">
      <c r="A38" s="1321" t="s">
        <v>1121</v>
      </c>
      <c r="B38" s="1326"/>
      <c r="C38" s="1326"/>
      <c r="D38" s="1112"/>
      <c r="E38" s="1326"/>
      <c r="F38" s="1326"/>
      <c r="G38" s="1326"/>
      <c r="H38" s="861"/>
      <c r="I38" s="1321" t="s">
        <v>1336</v>
      </c>
      <c r="J38" s="1326"/>
      <c r="K38" s="1326"/>
      <c r="L38" s="1326"/>
      <c r="M38" s="1326"/>
      <c r="N38" s="1326"/>
      <c r="O38" s="151"/>
      <c r="P38" s="151"/>
      <c r="Q38" s="151"/>
      <c r="R38" s="151"/>
    </row>
    <row r="39" spans="1:18" ht="15.4" customHeight="1" x14ac:dyDescent="0.25">
      <c r="A39" s="1317" t="s">
        <v>694</v>
      </c>
      <c r="B39" s="1326"/>
      <c r="C39" s="1326"/>
      <c r="D39" s="1324"/>
      <c r="E39" s="1326"/>
      <c r="F39" s="1326"/>
      <c r="G39" s="1326"/>
      <c r="H39" s="95"/>
      <c r="I39" s="1317" t="s">
        <v>694</v>
      </c>
      <c r="J39" s="1326"/>
      <c r="K39" s="1326"/>
      <c r="L39" s="1326"/>
      <c r="M39" s="1326"/>
      <c r="N39" s="1326"/>
      <c r="O39" s="151"/>
      <c r="P39" s="151"/>
      <c r="Q39" s="151"/>
      <c r="R39" s="151"/>
    </row>
  </sheetData>
  <mergeCells count="21">
    <mergeCell ref="A2:N2"/>
    <mergeCell ref="A3:N3"/>
    <mergeCell ref="A13:A15"/>
    <mergeCell ref="B13:B15"/>
    <mergeCell ref="C13:C15"/>
    <mergeCell ref="D13:D15"/>
    <mergeCell ref="K37:N37"/>
    <mergeCell ref="E13:H13"/>
    <mergeCell ref="D38:G38"/>
    <mergeCell ref="K13:M14"/>
    <mergeCell ref="A39:C39"/>
    <mergeCell ref="D39:G39"/>
    <mergeCell ref="I39:N39"/>
    <mergeCell ref="E14:E15"/>
    <mergeCell ref="F14:H14"/>
    <mergeCell ref="I14:I15"/>
    <mergeCell ref="J14:J15"/>
    <mergeCell ref="I13:J13"/>
    <mergeCell ref="A38:C38"/>
    <mergeCell ref="N13:N15"/>
    <mergeCell ref="I38:N38"/>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F50"/>
  <sheetViews>
    <sheetView showGridLines="0" workbookViewId="0">
      <selection activeCell="A18" sqref="A18:IV18"/>
    </sheetView>
  </sheetViews>
  <sheetFormatPr defaultRowHeight="15" x14ac:dyDescent="0.25"/>
  <cols>
    <col min="1" max="1" width="50.85546875" customWidth="1"/>
    <col min="2" max="2" width="22.85546875" customWidth="1"/>
    <col min="3" max="6" width="15.85546875" customWidth="1"/>
  </cols>
  <sheetData>
    <row r="1" spans="1:6" ht="16.5" customHeight="1" x14ac:dyDescent="0.25">
      <c r="A1" s="139"/>
      <c r="B1" s="571"/>
      <c r="C1" s="571"/>
      <c r="D1" s="571"/>
      <c r="E1" s="571"/>
      <c r="F1" s="556" t="s">
        <v>577</v>
      </c>
    </row>
    <row r="2" spans="1:6" ht="16.5" customHeight="1" x14ac:dyDescent="0.25">
      <c r="A2" s="499" t="s">
        <v>262</v>
      </c>
      <c r="B2" s="1347" t="s">
        <v>1002</v>
      </c>
      <c r="C2" s="1326"/>
      <c r="D2" s="1326"/>
      <c r="E2" s="1326"/>
      <c r="F2" s="1326"/>
    </row>
    <row r="3" spans="1:6" ht="16.5" customHeight="1" x14ac:dyDescent="0.25">
      <c r="A3" s="499" t="s">
        <v>1468</v>
      </c>
      <c r="B3" s="1347" t="s">
        <v>189</v>
      </c>
      <c r="C3" s="1326"/>
      <c r="D3" s="1326"/>
      <c r="E3" s="1326"/>
      <c r="F3" s="1326"/>
    </row>
    <row r="4" spans="1:6" ht="16.5" customHeight="1" x14ac:dyDescent="0.25">
      <c r="A4" s="139"/>
      <c r="B4" s="571"/>
      <c r="C4" s="571"/>
      <c r="D4" s="571"/>
      <c r="E4" s="571"/>
      <c r="F4" s="571"/>
    </row>
    <row r="5" spans="1:6" ht="17.649999999999999" customHeight="1" x14ac:dyDescent="0.25">
      <c r="A5" s="1348" t="s">
        <v>949</v>
      </c>
      <c r="B5" s="1326"/>
      <c r="C5" s="1326"/>
      <c r="D5" s="1326"/>
      <c r="E5" s="1326"/>
      <c r="F5" s="1326"/>
    </row>
    <row r="6" spans="1:6" ht="15" customHeight="1" x14ac:dyDescent="0.25">
      <c r="A6" s="139"/>
      <c r="B6" s="139"/>
      <c r="C6" s="139"/>
      <c r="D6" s="139"/>
      <c r="E6" s="139"/>
      <c r="F6" s="139"/>
    </row>
    <row r="7" spans="1:6" ht="15" customHeight="1" x14ac:dyDescent="0.25">
      <c r="A7" s="1335" t="s">
        <v>1380</v>
      </c>
      <c r="B7" s="1326"/>
      <c r="C7" s="1326"/>
      <c r="D7" s="1326"/>
      <c r="E7" s="1326"/>
      <c r="F7" s="1326"/>
    </row>
    <row r="8" spans="1:6" ht="15" customHeight="1" x14ac:dyDescent="0.25">
      <c r="A8" s="245"/>
      <c r="B8" s="245"/>
      <c r="C8" s="245"/>
      <c r="D8" s="245"/>
      <c r="E8" s="245"/>
      <c r="F8" s="245"/>
    </row>
    <row r="9" spans="1:6" ht="15" customHeight="1" x14ac:dyDescent="0.25">
      <c r="A9" s="625" t="s">
        <v>394</v>
      </c>
      <c r="B9" s="245"/>
      <c r="C9" s="245"/>
      <c r="D9" s="245"/>
      <c r="E9" s="625" t="s">
        <v>920</v>
      </c>
      <c r="F9" s="245"/>
    </row>
    <row r="10" spans="1:6" ht="15" customHeight="1" x14ac:dyDescent="0.25">
      <c r="A10" s="625" t="s">
        <v>1390</v>
      </c>
      <c r="B10" s="245"/>
      <c r="C10" s="245"/>
      <c r="D10" s="245"/>
      <c r="E10" s="245"/>
      <c r="F10" s="245"/>
    </row>
    <row r="11" spans="1:6" ht="15" customHeight="1" x14ac:dyDescent="0.25">
      <c r="A11" s="625" t="s">
        <v>87</v>
      </c>
      <c r="B11" s="625" t="s">
        <v>667</v>
      </c>
      <c r="C11" s="245"/>
      <c r="D11" s="245"/>
      <c r="E11" s="245"/>
      <c r="F11" s="245"/>
    </row>
    <row r="12" spans="1:6" ht="15" customHeight="1" x14ac:dyDescent="0.25">
      <c r="A12" s="245"/>
      <c r="B12" s="625" t="s">
        <v>1298</v>
      </c>
      <c r="C12" s="245"/>
      <c r="D12" s="245"/>
      <c r="E12" s="245"/>
      <c r="F12" s="245"/>
    </row>
    <row r="13" spans="1:6" ht="15" customHeight="1" x14ac:dyDescent="0.25">
      <c r="A13" s="625" t="s">
        <v>875</v>
      </c>
      <c r="B13" s="245"/>
      <c r="C13" s="245"/>
      <c r="D13" s="245"/>
      <c r="E13" s="245"/>
      <c r="F13" s="245"/>
    </row>
    <row r="14" spans="1:6" ht="15" customHeight="1" x14ac:dyDescent="0.25">
      <c r="A14" s="625" t="s">
        <v>458</v>
      </c>
      <c r="B14" s="245"/>
      <c r="C14" s="245"/>
      <c r="D14" s="245"/>
      <c r="E14" s="245"/>
      <c r="F14" s="245"/>
    </row>
    <row r="15" spans="1:6" ht="15" customHeight="1" x14ac:dyDescent="0.25">
      <c r="A15" s="625" t="s">
        <v>1064</v>
      </c>
      <c r="B15" s="245"/>
      <c r="C15" s="245"/>
      <c r="D15" s="245"/>
      <c r="E15" s="245"/>
      <c r="F15" s="245"/>
    </row>
    <row r="16" spans="1:6" ht="15" customHeight="1" x14ac:dyDescent="0.25">
      <c r="A16" s="625" t="s">
        <v>5</v>
      </c>
      <c r="B16" s="245"/>
      <c r="C16" s="245"/>
      <c r="D16" s="245"/>
      <c r="E16" s="245"/>
      <c r="F16" s="245"/>
    </row>
    <row r="17" spans="1:6" ht="15" customHeight="1" x14ac:dyDescent="0.25">
      <c r="A17" s="625" t="s">
        <v>161</v>
      </c>
      <c r="B17" s="625" t="s">
        <v>886</v>
      </c>
      <c r="C17" s="625" t="s">
        <v>346</v>
      </c>
      <c r="D17" s="625" t="s">
        <v>380</v>
      </c>
      <c r="E17" s="245"/>
      <c r="F17" s="245"/>
    </row>
    <row r="18" spans="1:6" ht="15" customHeight="1" x14ac:dyDescent="0.25">
      <c r="A18" s="625" t="s">
        <v>622</v>
      </c>
      <c r="B18" s="245"/>
      <c r="C18" s="245"/>
      <c r="D18" s="245"/>
      <c r="E18" s="245"/>
      <c r="F18" s="245"/>
    </row>
    <row r="19" spans="1:6" ht="15" customHeight="1" x14ac:dyDescent="0.25">
      <c r="A19" s="625" t="s">
        <v>273</v>
      </c>
      <c r="B19" s="625" t="s">
        <v>212</v>
      </c>
      <c r="C19" s="245"/>
      <c r="D19" s="245"/>
      <c r="E19" s="245"/>
      <c r="F19" s="245"/>
    </row>
    <row r="20" spans="1:6" ht="15" customHeight="1" x14ac:dyDescent="0.25">
      <c r="A20" s="245"/>
      <c r="B20" s="245"/>
      <c r="C20" s="245"/>
      <c r="D20" s="245"/>
      <c r="E20" s="245"/>
      <c r="F20" s="370" t="s">
        <v>1210</v>
      </c>
    </row>
    <row r="21" spans="1:6" ht="45" customHeight="1" x14ac:dyDescent="0.25">
      <c r="A21" s="1330" t="s">
        <v>217</v>
      </c>
      <c r="B21" s="1330" t="s">
        <v>453</v>
      </c>
      <c r="C21" s="1327" t="s">
        <v>1405</v>
      </c>
      <c r="D21" s="1329"/>
      <c r="E21" s="1327" t="s">
        <v>230</v>
      </c>
      <c r="F21" s="1329"/>
    </row>
    <row r="22" spans="1:6" ht="17.25" customHeight="1" x14ac:dyDescent="0.25">
      <c r="A22" s="1332"/>
      <c r="B22" s="1332"/>
      <c r="C22" s="148" t="s">
        <v>1052</v>
      </c>
      <c r="D22" s="148" t="s">
        <v>1467</v>
      </c>
      <c r="E22" s="148" t="s">
        <v>1052</v>
      </c>
      <c r="F22" s="148" t="s">
        <v>1467</v>
      </c>
    </row>
    <row r="23" spans="1:6" ht="15" customHeight="1" x14ac:dyDescent="0.25">
      <c r="A23" s="37"/>
      <c r="B23" s="37"/>
      <c r="C23" s="37"/>
      <c r="D23" s="37"/>
      <c r="E23" s="37"/>
      <c r="F23" s="37"/>
    </row>
    <row r="24" spans="1:6" ht="15" customHeight="1" x14ac:dyDescent="0.25">
      <c r="A24" s="852"/>
      <c r="B24" s="852"/>
      <c r="C24" s="852"/>
      <c r="D24" s="852"/>
      <c r="E24" s="852"/>
      <c r="F24" s="852"/>
    </row>
    <row r="25" spans="1:6" ht="15" customHeight="1" x14ac:dyDescent="0.25">
      <c r="A25" s="679"/>
      <c r="B25" s="679"/>
      <c r="C25" s="679"/>
      <c r="D25" s="679"/>
      <c r="E25" s="679"/>
      <c r="F25" s="679"/>
    </row>
    <row r="26" spans="1:6" ht="15" customHeight="1" x14ac:dyDescent="0.25">
      <c r="A26" s="119"/>
      <c r="B26" s="119"/>
      <c r="C26" s="119"/>
      <c r="D26" s="119"/>
      <c r="E26" s="119"/>
      <c r="F26" s="119"/>
    </row>
    <row r="27" spans="1:6" ht="15" customHeight="1" x14ac:dyDescent="0.25">
      <c r="A27" s="245"/>
      <c r="B27" s="245"/>
      <c r="C27" s="245"/>
      <c r="D27" s="245"/>
      <c r="E27" s="245"/>
      <c r="F27" s="245"/>
    </row>
    <row r="28" spans="1:6" ht="15" customHeight="1" x14ac:dyDescent="0.25">
      <c r="A28" s="625" t="s">
        <v>547</v>
      </c>
      <c r="B28" s="245"/>
      <c r="C28" s="245"/>
      <c r="D28" s="245"/>
      <c r="E28" s="245"/>
      <c r="F28" s="245"/>
    </row>
    <row r="29" spans="1:6" ht="15" customHeight="1" x14ac:dyDescent="0.25">
      <c r="A29" s="625" t="s">
        <v>1065</v>
      </c>
      <c r="B29" s="245"/>
      <c r="C29" s="245"/>
      <c r="D29" s="245"/>
      <c r="E29" s="245"/>
      <c r="F29" s="245"/>
    </row>
    <row r="30" spans="1:6" ht="15" customHeight="1" x14ac:dyDescent="0.25">
      <c r="A30" s="625" t="s">
        <v>934</v>
      </c>
      <c r="B30" s="245"/>
      <c r="C30" s="245"/>
      <c r="D30" s="245"/>
      <c r="E30" s="245"/>
      <c r="F30" s="245"/>
    </row>
    <row r="31" spans="1:6" ht="15" customHeight="1" x14ac:dyDescent="0.25">
      <c r="A31" s="625" t="s">
        <v>543</v>
      </c>
      <c r="B31" s="245"/>
      <c r="C31" s="245"/>
      <c r="D31" s="245"/>
      <c r="E31" s="245"/>
      <c r="F31" s="245"/>
    </row>
    <row r="32" spans="1:6" ht="15" customHeight="1" x14ac:dyDescent="0.25">
      <c r="A32" s="625" t="s">
        <v>893</v>
      </c>
      <c r="B32" s="245"/>
      <c r="C32" s="245"/>
      <c r="D32" s="245"/>
      <c r="E32" s="245"/>
      <c r="F32" s="245"/>
    </row>
    <row r="33" spans="1:6" ht="15" customHeight="1" x14ac:dyDescent="0.25">
      <c r="A33" s="625" t="s">
        <v>345</v>
      </c>
      <c r="B33" s="245"/>
      <c r="C33" s="245"/>
      <c r="D33" s="245"/>
      <c r="E33" s="245"/>
      <c r="F33" s="245"/>
    </row>
    <row r="34" spans="1:6" ht="15" customHeight="1" x14ac:dyDescent="0.25">
      <c r="A34" s="625" t="s">
        <v>312</v>
      </c>
      <c r="B34" s="245"/>
      <c r="C34" s="245"/>
      <c r="D34" s="245"/>
      <c r="E34" s="245"/>
      <c r="F34" s="245"/>
    </row>
    <row r="35" spans="1:6" ht="15" customHeight="1" x14ac:dyDescent="0.25">
      <c r="A35" s="625" t="s">
        <v>50</v>
      </c>
      <c r="B35" s="245"/>
      <c r="C35" s="245"/>
      <c r="D35" s="245"/>
      <c r="E35" s="245"/>
      <c r="F35" s="245"/>
    </row>
    <row r="36" spans="1:6" ht="15" customHeight="1" x14ac:dyDescent="0.25">
      <c r="A36" s="625" t="s">
        <v>644</v>
      </c>
      <c r="B36" s="245"/>
      <c r="C36" s="245"/>
      <c r="D36" s="245"/>
      <c r="E36" s="245"/>
      <c r="F36" s="245"/>
    </row>
    <row r="37" spans="1:6" ht="15" customHeight="1" x14ac:dyDescent="0.25">
      <c r="A37" s="625" t="s">
        <v>893</v>
      </c>
      <c r="B37" s="245"/>
      <c r="C37" s="245"/>
      <c r="D37" s="245"/>
      <c r="E37" s="245"/>
      <c r="F37" s="245"/>
    </row>
    <row r="38" spans="1:6" ht="15" customHeight="1" x14ac:dyDescent="0.25">
      <c r="A38" s="625" t="s">
        <v>345</v>
      </c>
      <c r="B38" s="245"/>
      <c r="C38" s="245"/>
      <c r="D38" s="245"/>
      <c r="E38" s="245"/>
      <c r="F38" s="245"/>
    </row>
    <row r="39" spans="1:6" ht="15" customHeight="1" x14ac:dyDescent="0.25">
      <c r="A39" s="625" t="s">
        <v>1020</v>
      </c>
      <c r="B39" s="245"/>
      <c r="C39" s="245"/>
      <c r="D39" s="245"/>
      <c r="E39" s="245"/>
      <c r="F39" s="245"/>
    </row>
    <row r="40" spans="1:6" ht="15" customHeight="1" x14ac:dyDescent="0.25">
      <c r="A40" s="625" t="s">
        <v>548</v>
      </c>
      <c r="B40" s="245"/>
      <c r="C40" s="245"/>
      <c r="D40" s="245"/>
      <c r="E40" s="245"/>
      <c r="F40" s="245"/>
    </row>
    <row r="41" spans="1:6" ht="15" customHeight="1" x14ac:dyDescent="0.25">
      <c r="A41" s="245"/>
      <c r="B41" s="245"/>
      <c r="C41" s="245"/>
      <c r="D41" s="245"/>
      <c r="E41" s="245"/>
      <c r="F41" s="245"/>
    </row>
    <row r="42" spans="1:6" ht="15" customHeight="1" x14ac:dyDescent="0.25">
      <c r="A42" s="245"/>
      <c r="B42" s="245"/>
      <c r="C42" s="1334" t="s">
        <v>56</v>
      </c>
      <c r="D42" s="1326"/>
      <c r="E42" s="1326"/>
      <c r="F42" s="1326"/>
    </row>
    <row r="43" spans="1:6" ht="15" customHeight="1" x14ac:dyDescent="0.25">
      <c r="A43" s="650" t="s">
        <v>1260</v>
      </c>
      <c r="B43" s="245"/>
      <c r="C43" s="1335" t="s">
        <v>1014</v>
      </c>
      <c r="D43" s="1326"/>
      <c r="E43" s="1326"/>
      <c r="F43" s="1326"/>
    </row>
    <row r="44" spans="1:6" ht="15" customHeight="1" x14ac:dyDescent="0.25">
      <c r="A44" s="528" t="s">
        <v>221</v>
      </c>
      <c r="B44" s="245"/>
      <c r="C44" s="1346" t="s">
        <v>694</v>
      </c>
      <c r="D44" s="1326"/>
      <c r="E44" s="1326"/>
      <c r="F44" s="1326"/>
    </row>
    <row r="45" spans="1:6" ht="15" customHeight="1" x14ac:dyDescent="0.25">
      <c r="A45" s="245"/>
      <c r="B45" s="245"/>
      <c r="C45" s="245"/>
      <c r="D45" s="245"/>
      <c r="E45" s="245"/>
      <c r="F45" s="245"/>
    </row>
    <row r="46" spans="1:6" ht="15" customHeight="1" x14ac:dyDescent="0.25">
      <c r="A46" s="245"/>
      <c r="B46" s="245"/>
      <c r="C46" s="245"/>
      <c r="D46" s="245"/>
      <c r="E46" s="245"/>
      <c r="F46" s="245"/>
    </row>
    <row r="47" spans="1:6" ht="15" customHeight="1" x14ac:dyDescent="0.25">
      <c r="A47" s="245"/>
      <c r="B47" s="245"/>
      <c r="C47" s="245"/>
      <c r="D47" s="245"/>
      <c r="E47" s="245"/>
      <c r="F47" s="245"/>
    </row>
    <row r="48" spans="1:6" ht="15" customHeight="1" x14ac:dyDescent="0.25">
      <c r="A48" s="245"/>
      <c r="B48" s="245"/>
      <c r="C48" s="245"/>
      <c r="D48" s="245"/>
      <c r="E48" s="245"/>
      <c r="F48" s="245"/>
    </row>
    <row r="49" spans="1:6" ht="15" customHeight="1" x14ac:dyDescent="0.25">
      <c r="A49" s="245"/>
      <c r="B49" s="245"/>
      <c r="C49" s="245"/>
      <c r="D49" s="245"/>
      <c r="E49" s="245"/>
      <c r="F49" s="245"/>
    </row>
    <row r="50" spans="1:6" ht="15" customHeight="1" x14ac:dyDescent="0.25">
      <c r="A50" s="245"/>
      <c r="B50" s="245"/>
      <c r="C50" s="245"/>
      <c r="D50" s="245"/>
      <c r="E50" s="245"/>
      <c r="F50" s="245"/>
    </row>
  </sheetData>
  <mergeCells count="11">
    <mergeCell ref="C42:F42"/>
    <mergeCell ref="C43:F43"/>
    <mergeCell ref="C44:F44"/>
    <mergeCell ref="B2:F2"/>
    <mergeCell ref="B3:F3"/>
    <mergeCell ref="A5:F5"/>
    <mergeCell ref="A7:F7"/>
    <mergeCell ref="A21:A22"/>
    <mergeCell ref="B21:B22"/>
    <mergeCell ref="C21:D21"/>
    <mergeCell ref="E21:F21"/>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H80"/>
  <sheetViews>
    <sheetView showGridLines="0" workbookViewId="0">
      <selection activeCell="A18" sqref="A18:IV18"/>
    </sheetView>
  </sheetViews>
  <sheetFormatPr defaultRowHeight="15" x14ac:dyDescent="0.25"/>
  <cols>
    <col min="1" max="1" width="5.85546875" customWidth="1"/>
    <col min="2" max="2" width="45.85546875" customWidth="1"/>
    <col min="3" max="8" width="20.85546875" customWidth="1"/>
  </cols>
  <sheetData>
    <row r="1" spans="1:8" ht="17.649999999999999" customHeight="1" x14ac:dyDescent="0.3">
      <c r="A1" s="808"/>
      <c r="B1" s="808"/>
      <c r="C1" s="808"/>
      <c r="D1" s="808"/>
      <c r="E1" s="808"/>
      <c r="F1" s="808"/>
      <c r="G1" s="808"/>
      <c r="H1" s="312" t="s">
        <v>992</v>
      </c>
    </row>
    <row r="2" spans="1:8" ht="17.649999999999999" customHeight="1" x14ac:dyDescent="0.25">
      <c r="A2" s="1348" t="s">
        <v>167</v>
      </c>
      <c r="B2" s="1326"/>
      <c r="C2" s="1326"/>
      <c r="D2" s="1326"/>
      <c r="E2" s="1326"/>
      <c r="F2" s="1326"/>
      <c r="G2" s="1326"/>
      <c r="H2" s="1326"/>
    </row>
    <row r="3" spans="1:8" ht="15" customHeight="1" x14ac:dyDescent="0.25">
      <c r="A3" s="245"/>
      <c r="B3" s="245"/>
      <c r="C3" s="245"/>
      <c r="D3" s="245"/>
      <c r="E3" s="245"/>
      <c r="F3" s="245"/>
      <c r="G3" s="245"/>
      <c r="H3" s="245"/>
    </row>
    <row r="4" spans="1:8" ht="15" customHeight="1" x14ac:dyDescent="0.25">
      <c r="A4" s="625" t="s">
        <v>456</v>
      </c>
      <c r="B4" s="245"/>
      <c r="C4" s="625" t="s">
        <v>41</v>
      </c>
      <c r="D4" s="245"/>
      <c r="E4" s="245"/>
      <c r="F4" s="245"/>
      <c r="G4" s="245"/>
      <c r="H4" s="245"/>
    </row>
    <row r="5" spans="1:8" ht="15" customHeight="1" x14ac:dyDescent="0.25">
      <c r="A5" s="625" t="s">
        <v>1347</v>
      </c>
      <c r="B5" s="245"/>
      <c r="C5" s="245"/>
      <c r="D5" s="245"/>
      <c r="E5" s="245"/>
      <c r="F5" s="245"/>
      <c r="G5" s="245"/>
      <c r="H5" s="245"/>
    </row>
    <row r="6" spans="1:8" ht="15" customHeight="1" x14ac:dyDescent="0.25">
      <c r="A6" s="625" t="s">
        <v>149</v>
      </c>
      <c r="B6" s="245"/>
      <c r="C6" s="245"/>
      <c r="D6" s="245"/>
      <c r="E6" s="245"/>
      <c r="F6" s="245"/>
      <c r="G6" s="245"/>
      <c r="H6" s="245"/>
    </row>
    <row r="7" spans="1:8" ht="15" customHeight="1" x14ac:dyDescent="0.25">
      <c r="A7" s="625" t="s">
        <v>569</v>
      </c>
      <c r="B7" s="245"/>
      <c r="C7" s="245"/>
      <c r="D7" s="245"/>
      <c r="E7" s="245"/>
      <c r="F7" s="245"/>
      <c r="G7" s="245"/>
      <c r="H7" s="245"/>
    </row>
    <row r="8" spans="1:8" ht="15" customHeight="1" x14ac:dyDescent="0.25">
      <c r="A8" s="625" t="s">
        <v>789</v>
      </c>
      <c r="B8" s="245"/>
      <c r="C8" s="245"/>
      <c r="D8" s="245"/>
      <c r="E8" s="245"/>
      <c r="F8" s="245"/>
      <c r="G8" s="245"/>
      <c r="H8" s="245"/>
    </row>
    <row r="9" spans="1:8" ht="15" customHeight="1" x14ac:dyDescent="0.25">
      <c r="A9" s="625" t="s">
        <v>1015</v>
      </c>
      <c r="B9" s="245"/>
      <c r="C9" s="245"/>
      <c r="D9" s="245"/>
      <c r="E9" s="245"/>
      <c r="F9" s="245"/>
      <c r="G9" s="245"/>
      <c r="H9" s="245"/>
    </row>
    <row r="10" spans="1:8" ht="15" customHeight="1" x14ac:dyDescent="0.25">
      <c r="A10" s="245"/>
      <c r="B10" s="245"/>
      <c r="C10" s="245"/>
      <c r="D10" s="245"/>
      <c r="E10" s="245"/>
      <c r="F10" s="245"/>
      <c r="G10" s="245"/>
      <c r="H10" s="370" t="s">
        <v>1210</v>
      </c>
    </row>
    <row r="11" spans="1:8" ht="15.4" customHeight="1" x14ac:dyDescent="0.25">
      <c r="A11" s="1351" t="s">
        <v>1323</v>
      </c>
      <c r="B11" s="1351" t="s">
        <v>217</v>
      </c>
      <c r="C11" s="1351" t="s">
        <v>570</v>
      </c>
      <c r="D11" s="1352" t="s">
        <v>423</v>
      </c>
      <c r="E11" s="1328"/>
      <c r="F11" s="1329"/>
      <c r="G11" s="1351" t="s">
        <v>1226</v>
      </c>
      <c r="H11" s="1351" t="s">
        <v>1056</v>
      </c>
    </row>
    <row r="12" spans="1:8" ht="15.4" customHeight="1" x14ac:dyDescent="0.25">
      <c r="A12" s="1331"/>
      <c r="B12" s="1331"/>
      <c r="C12" s="1331"/>
      <c r="D12" s="258" t="s">
        <v>454</v>
      </c>
      <c r="E12" s="1352" t="s">
        <v>1464</v>
      </c>
      <c r="F12" s="1329"/>
      <c r="G12" s="1331"/>
      <c r="H12" s="1331"/>
    </row>
    <row r="13" spans="1:8" ht="28.9" customHeight="1" x14ac:dyDescent="0.25">
      <c r="A13" s="1332"/>
      <c r="B13" s="1332"/>
      <c r="C13" s="1332"/>
      <c r="D13" s="791"/>
      <c r="E13" s="258" t="s">
        <v>817</v>
      </c>
      <c r="F13" s="258" t="s">
        <v>541</v>
      </c>
      <c r="G13" s="1332"/>
      <c r="H13" s="1332"/>
    </row>
    <row r="14" spans="1:8" ht="15" customHeight="1" x14ac:dyDescent="0.25">
      <c r="A14" s="508" t="s">
        <v>22</v>
      </c>
      <c r="B14" s="508" t="s">
        <v>389</v>
      </c>
      <c r="C14" s="508" t="s">
        <v>769</v>
      </c>
      <c r="D14" s="508" t="s">
        <v>1188</v>
      </c>
      <c r="E14" s="508" t="s">
        <v>1169</v>
      </c>
      <c r="F14" s="508" t="s">
        <v>49</v>
      </c>
      <c r="G14" s="508"/>
      <c r="H14" s="508"/>
    </row>
    <row r="15" spans="1:8" ht="15.4" customHeight="1" x14ac:dyDescent="0.25">
      <c r="A15" s="752" t="s">
        <v>109</v>
      </c>
      <c r="B15" s="695" t="s">
        <v>398</v>
      </c>
      <c r="C15" s="707"/>
      <c r="D15" s="707"/>
      <c r="E15" s="707"/>
      <c r="F15" s="707"/>
      <c r="G15" s="707"/>
      <c r="H15" s="707"/>
    </row>
    <row r="16" spans="1:8" ht="15.4" customHeight="1" x14ac:dyDescent="0.25">
      <c r="A16" s="780" t="s">
        <v>915</v>
      </c>
      <c r="B16" s="724" t="s">
        <v>551</v>
      </c>
      <c r="C16" s="364"/>
      <c r="D16" s="364"/>
      <c r="E16" s="364"/>
      <c r="F16" s="364"/>
      <c r="G16" s="364"/>
      <c r="H16" s="364"/>
    </row>
    <row r="17" spans="1:8" ht="15.4" customHeight="1" x14ac:dyDescent="0.25">
      <c r="A17" s="422"/>
      <c r="B17" s="643" t="s">
        <v>954</v>
      </c>
      <c r="C17" s="364"/>
      <c r="D17" s="364"/>
      <c r="E17" s="364"/>
      <c r="F17" s="364"/>
      <c r="G17" s="364"/>
      <c r="H17" s="364"/>
    </row>
    <row r="18" spans="1:8" ht="15.4" customHeight="1" x14ac:dyDescent="0.25">
      <c r="A18" s="422"/>
      <c r="B18" s="643" t="s">
        <v>1066</v>
      </c>
      <c r="C18" s="364"/>
      <c r="D18" s="364"/>
      <c r="E18" s="364"/>
      <c r="F18" s="364"/>
      <c r="G18" s="364"/>
      <c r="H18" s="364"/>
    </row>
    <row r="19" spans="1:8" ht="15.4" customHeight="1" x14ac:dyDescent="0.25">
      <c r="A19" s="422"/>
      <c r="B19" s="724" t="s">
        <v>319</v>
      </c>
      <c r="C19" s="364"/>
      <c r="D19" s="364"/>
      <c r="E19" s="364"/>
      <c r="F19" s="364"/>
      <c r="G19" s="364"/>
      <c r="H19" s="364"/>
    </row>
    <row r="20" spans="1:8" ht="15.4" customHeight="1" x14ac:dyDescent="0.25">
      <c r="A20" s="422">
        <v>1</v>
      </c>
      <c r="B20" s="724" t="s">
        <v>753</v>
      </c>
      <c r="C20" s="364"/>
      <c r="D20" s="364"/>
      <c r="E20" s="364"/>
      <c r="F20" s="364"/>
      <c r="G20" s="364"/>
      <c r="H20" s="364"/>
    </row>
    <row r="21" spans="1:8" ht="15.4" customHeight="1" x14ac:dyDescent="0.25">
      <c r="A21" s="422"/>
      <c r="B21" s="643" t="s">
        <v>954</v>
      </c>
      <c r="C21" s="364"/>
      <c r="D21" s="364"/>
      <c r="E21" s="364"/>
      <c r="F21" s="364"/>
      <c r="G21" s="364"/>
      <c r="H21" s="364"/>
    </row>
    <row r="22" spans="1:8" ht="15.4" customHeight="1" x14ac:dyDescent="0.25">
      <c r="A22" s="422"/>
      <c r="B22" s="643" t="s">
        <v>1066</v>
      </c>
      <c r="C22" s="364"/>
      <c r="D22" s="364"/>
      <c r="E22" s="364"/>
      <c r="F22" s="364"/>
      <c r="G22" s="364"/>
      <c r="H22" s="364"/>
    </row>
    <row r="23" spans="1:8" ht="15.4" customHeight="1" x14ac:dyDescent="0.25">
      <c r="A23" s="422">
        <v>2</v>
      </c>
      <c r="B23" s="724" t="s">
        <v>976</v>
      </c>
      <c r="C23" s="364"/>
      <c r="D23" s="364"/>
      <c r="E23" s="364"/>
      <c r="F23" s="364"/>
      <c r="G23" s="364"/>
      <c r="H23" s="364"/>
    </row>
    <row r="24" spans="1:8" ht="15.4" customHeight="1" x14ac:dyDescent="0.25">
      <c r="A24" s="422">
        <v>3</v>
      </c>
      <c r="B24" s="724" t="s">
        <v>1209</v>
      </c>
      <c r="C24" s="364"/>
      <c r="D24" s="364"/>
      <c r="E24" s="364"/>
      <c r="F24" s="364"/>
      <c r="G24" s="364"/>
      <c r="H24" s="364"/>
    </row>
    <row r="25" spans="1:8" ht="15.4" customHeight="1" x14ac:dyDescent="0.25">
      <c r="A25" s="422"/>
      <c r="B25" s="643" t="s">
        <v>954</v>
      </c>
      <c r="C25" s="364"/>
      <c r="D25" s="364"/>
      <c r="E25" s="364"/>
      <c r="F25" s="364"/>
      <c r="G25" s="364"/>
      <c r="H25" s="364"/>
    </row>
    <row r="26" spans="1:8" ht="15.4" customHeight="1" x14ac:dyDescent="0.25">
      <c r="A26" s="422"/>
      <c r="B26" s="643" t="s">
        <v>1066</v>
      </c>
      <c r="C26" s="364"/>
      <c r="D26" s="364"/>
      <c r="E26" s="364"/>
      <c r="F26" s="364"/>
      <c r="G26" s="364"/>
      <c r="H26" s="364"/>
    </row>
    <row r="27" spans="1:8" ht="28.9" customHeight="1" x14ac:dyDescent="0.25">
      <c r="A27" s="780" t="s">
        <v>587</v>
      </c>
      <c r="B27" s="724" t="s">
        <v>597</v>
      </c>
      <c r="C27" s="364"/>
      <c r="D27" s="364"/>
      <c r="E27" s="364"/>
      <c r="F27" s="364"/>
      <c r="G27" s="364"/>
      <c r="H27" s="364"/>
    </row>
    <row r="28" spans="1:8" ht="15.4" customHeight="1" x14ac:dyDescent="0.25">
      <c r="A28" s="422"/>
      <c r="B28" s="643" t="s">
        <v>954</v>
      </c>
      <c r="C28" s="364"/>
      <c r="D28" s="364"/>
      <c r="E28" s="364"/>
      <c r="F28" s="364"/>
      <c r="G28" s="364"/>
      <c r="H28" s="364"/>
    </row>
    <row r="29" spans="1:8" ht="15.4" customHeight="1" x14ac:dyDescent="0.25">
      <c r="A29" s="422"/>
      <c r="B29" s="643" t="s">
        <v>1066</v>
      </c>
      <c r="C29" s="364"/>
      <c r="D29" s="364"/>
      <c r="E29" s="364"/>
      <c r="F29" s="364"/>
      <c r="G29" s="364"/>
      <c r="H29" s="364"/>
    </row>
    <row r="30" spans="1:8" ht="15.4" customHeight="1" x14ac:dyDescent="0.25">
      <c r="A30" s="684" t="s">
        <v>477</v>
      </c>
      <c r="B30" s="627" t="s">
        <v>535</v>
      </c>
      <c r="C30" s="248"/>
      <c r="D30" s="248"/>
      <c r="E30" s="248"/>
      <c r="F30" s="248"/>
      <c r="G30" s="248"/>
      <c r="H30" s="248"/>
    </row>
    <row r="31" spans="1:8" ht="15.4" customHeight="1" x14ac:dyDescent="0.25">
      <c r="A31" s="780" t="s">
        <v>915</v>
      </c>
      <c r="B31" s="724" t="s">
        <v>551</v>
      </c>
      <c r="C31" s="364"/>
      <c r="D31" s="364"/>
      <c r="E31" s="364"/>
      <c r="F31" s="364"/>
      <c r="G31" s="364"/>
      <c r="H31" s="364"/>
    </row>
    <row r="32" spans="1:8" ht="15.4" customHeight="1" x14ac:dyDescent="0.25">
      <c r="A32" s="422"/>
      <c r="B32" s="643" t="s">
        <v>954</v>
      </c>
      <c r="C32" s="364"/>
      <c r="D32" s="364"/>
      <c r="E32" s="364"/>
      <c r="F32" s="364"/>
      <c r="G32" s="364"/>
      <c r="H32" s="364"/>
    </row>
    <row r="33" spans="1:8" ht="15.4" customHeight="1" x14ac:dyDescent="0.25">
      <c r="A33" s="422"/>
      <c r="B33" s="643" t="s">
        <v>1066</v>
      </c>
      <c r="C33" s="364"/>
      <c r="D33" s="364"/>
      <c r="E33" s="364"/>
      <c r="F33" s="364"/>
      <c r="G33" s="364"/>
      <c r="H33" s="364"/>
    </row>
    <row r="34" spans="1:8" ht="15.4" customHeight="1" x14ac:dyDescent="0.25">
      <c r="A34" s="422"/>
      <c r="B34" s="724" t="s">
        <v>319</v>
      </c>
      <c r="C34" s="364"/>
      <c r="D34" s="364"/>
      <c r="E34" s="364"/>
      <c r="F34" s="364"/>
      <c r="G34" s="364"/>
      <c r="H34" s="364"/>
    </row>
    <row r="35" spans="1:8" ht="15.4" customHeight="1" x14ac:dyDescent="0.25">
      <c r="A35" s="422">
        <v>1</v>
      </c>
      <c r="B35" s="724" t="s">
        <v>753</v>
      </c>
      <c r="C35" s="364"/>
      <c r="D35" s="364"/>
      <c r="E35" s="364"/>
      <c r="F35" s="364"/>
      <c r="G35" s="364"/>
      <c r="H35" s="364"/>
    </row>
    <row r="36" spans="1:8" ht="15.4" customHeight="1" x14ac:dyDescent="0.25">
      <c r="A36" s="422"/>
      <c r="B36" s="643" t="s">
        <v>954</v>
      </c>
      <c r="C36" s="364"/>
      <c r="D36" s="364"/>
      <c r="E36" s="364"/>
      <c r="F36" s="364"/>
      <c r="G36" s="364"/>
      <c r="H36" s="364"/>
    </row>
    <row r="37" spans="1:8" ht="15.4" customHeight="1" x14ac:dyDescent="0.25">
      <c r="A37" s="422"/>
      <c r="B37" s="643" t="s">
        <v>1066</v>
      </c>
      <c r="C37" s="364"/>
      <c r="D37" s="364"/>
      <c r="E37" s="364"/>
      <c r="F37" s="364"/>
      <c r="G37" s="364"/>
      <c r="H37" s="364"/>
    </row>
    <row r="38" spans="1:8" ht="15.4" customHeight="1" x14ac:dyDescent="0.25">
      <c r="A38" s="422">
        <v>2</v>
      </c>
      <c r="B38" s="724" t="s">
        <v>976</v>
      </c>
      <c r="C38" s="364"/>
      <c r="D38" s="364"/>
      <c r="E38" s="364"/>
      <c r="F38" s="364"/>
      <c r="G38" s="364"/>
      <c r="H38" s="364"/>
    </row>
    <row r="39" spans="1:8" ht="15.4" customHeight="1" x14ac:dyDescent="0.25">
      <c r="A39" s="422">
        <v>3</v>
      </c>
      <c r="B39" s="724" t="s">
        <v>1209</v>
      </c>
      <c r="C39" s="364"/>
      <c r="D39" s="364"/>
      <c r="E39" s="364"/>
      <c r="F39" s="364"/>
      <c r="G39" s="364"/>
      <c r="H39" s="364"/>
    </row>
    <row r="40" spans="1:8" ht="15.4" customHeight="1" x14ac:dyDescent="0.25">
      <c r="A40" s="422"/>
      <c r="B40" s="643" t="s">
        <v>954</v>
      </c>
      <c r="C40" s="364"/>
      <c r="D40" s="364"/>
      <c r="E40" s="364"/>
      <c r="F40" s="364"/>
      <c r="G40" s="364"/>
      <c r="H40" s="364"/>
    </row>
    <row r="41" spans="1:8" ht="15.4" customHeight="1" x14ac:dyDescent="0.25">
      <c r="A41" s="422"/>
      <c r="B41" s="643" t="s">
        <v>1066</v>
      </c>
      <c r="C41" s="364"/>
      <c r="D41" s="364"/>
      <c r="E41" s="364"/>
      <c r="F41" s="364"/>
      <c r="G41" s="364"/>
      <c r="H41" s="364"/>
    </row>
    <row r="42" spans="1:8" ht="28.9" customHeight="1" x14ac:dyDescent="0.25">
      <c r="A42" s="780" t="s">
        <v>587</v>
      </c>
      <c r="B42" s="724" t="s">
        <v>597</v>
      </c>
      <c r="C42" s="364"/>
      <c r="D42" s="364"/>
      <c r="E42" s="364"/>
      <c r="F42" s="364"/>
      <c r="G42" s="364"/>
      <c r="H42" s="364"/>
    </row>
    <row r="43" spans="1:8" ht="15.4" customHeight="1" x14ac:dyDescent="0.25">
      <c r="A43" s="422"/>
      <c r="B43" s="643" t="s">
        <v>954</v>
      </c>
      <c r="C43" s="364"/>
      <c r="D43" s="364"/>
      <c r="E43" s="364"/>
      <c r="F43" s="364"/>
      <c r="G43" s="364"/>
      <c r="H43" s="364"/>
    </row>
    <row r="44" spans="1:8" ht="15.4" customHeight="1" x14ac:dyDescent="0.25">
      <c r="A44" s="422"/>
      <c r="B44" s="643" t="s">
        <v>1066</v>
      </c>
      <c r="C44" s="364"/>
      <c r="D44" s="364"/>
      <c r="E44" s="364"/>
      <c r="F44" s="364"/>
      <c r="G44" s="364"/>
      <c r="H44" s="364"/>
    </row>
    <row r="45" spans="1:8" ht="15.4" customHeight="1" x14ac:dyDescent="0.25">
      <c r="A45" s="684" t="s">
        <v>892</v>
      </c>
      <c r="B45" s="627" t="s">
        <v>725</v>
      </c>
      <c r="C45" s="248"/>
      <c r="D45" s="248"/>
      <c r="E45" s="248"/>
      <c r="F45" s="248"/>
      <c r="G45" s="248"/>
      <c r="H45" s="248"/>
    </row>
    <row r="46" spans="1:8" ht="15.4" customHeight="1" x14ac:dyDescent="0.25">
      <c r="A46" s="780" t="s">
        <v>915</v>
      </c>
      <c r="B46" s="724" t="s">
        <v>551</v>
      </c>
      <c r="C46" s="364"/>
      <c r="D46" s="364"/>
      <c r="E46" s="364"/>
      <c r="F46" s="364"/>
      <c r="G46" s="364"/>
      <c r="H46" s="364"/>
    </row>
    <row r="47" spans="1:8" ht="15.4" customHeight="1" x14ac:dyDescent="0.25">
      <c r="A47" s="422"/>
      <c r="B47" s="643" t="s">
        <v>954</v>
      </c>
      <c r="C47" s="364"/>
      <c r="D47" s="364"/>
      <c r="E47" s="364"/>
      <c r="F47" s="364"/>
      <c r="G47" s="364"/>
      <c r="H47" s="364"/>
    </row>
    <row r="48" spans="1:8" ht="15.4" customHeight="1" x14ac:dyDescent="0.25">
      <c r="A48" s="422"/>
      <c r="B48" s="643" t="s">
        <v>1066</v>
      </c>
      <c r="C48" s="364"/>
      <c r="D48" s="364"/>
      <c r="E48" s="364"/>
      <c r="F48" s="364"/>
      <c r="G48" s="364"/>
      <c r="H48" s="364"/>
    </row>
    <row r="49" spans="1:8" ht="15.4" customHeight="1" x14ac:dyDescent="0.25">
      <c r="A49" s="422"/>
      <c r="B49" s="724" t="s">
        <v>319</v>
      </c>
      <c r="C49" s="364"/>
      <c r="D49" s="364"/>
      <c r="E49" s="364"/>
      <c r="F49" s="364"/>
      <c r="G49" s="364"/>
      <c r="H49" s="364"/>
    </row>
    <row r="50" spans="1:8" ht="15.4" customHeight="1" x14ac:dyDescent="0.25">
      <c r="A50" s="422">
        <v>1</v>
      </c>
      <c r="B50" s="724" t="s">
        <v>753</v>
      </c>
      <c r="C50" s="364"/>
      <c r="D50" s="364"/>
      <c r="E50" s="364"/>
      <c r="F50" s="364"/>
      <c r="G50" s="364"/>
      <c r="H50" s="364"/>
    </row>
    <row r="51" spans="1:8" ht="15.4" customHeight="1" x14ac:dyDescent="0.25">
      <c r="A51" s="422"/>
      <c r="B51" s="643" t="s">
        <v>954</v>
      </c>
      <c r="C51" s="364"/>
      <c r="D51" s="364"/>
      <c r="E51" s="364"/>
      <c r="F51" s="364"/>
      <c r="G51" s="364"/>
      <c r="H51" s="364"/>
    </row>
    <row r="52" spans="1:8" ht="15.4" customHeight="1" x14ac:dyDescent="0.25">
      <c r="A52" s="422"/>
      <c r="B52" s="643" t="s">
        <v>1066</v>
      </c>
      <c r="C52" s="364"/>
      <c r="D52" s="364"/>
      <c r="E52" s="364"/>
      <c r="F52" s="364"/>
      <c r="G52" s="364"/>
      <c r="H52" s="364"/>
    </row>
    <row r="53" spans="1:8" ht="15.4" customHeight="1" x14ac:dyDescent="0.25">
      <c r="A53" s="422">
        <v>2</v>
      </c>
      <c r="B53" s="724" t="s">
        <v>976</v>
      </c>
      <c r="C53" s="364"/>
      <c r="D53" s="364"/>
      <c r="E53" s="364"/>
      <c r="F53" s="364"/>
      <c r="G53" s="364"/>
      <c r="H53" s="364"/>
    </row>
    <row r="54" spans="1:8" ht="15.4" customHeight="1" x14ac:dyDescent="0.25">
      <c r="A54" s="422">
        <v>3</v>
      </c>
      <c r="B54" s="724" t="s">
        <v>1209</v>
      </c>
      <c r="C54" s="364"/>
      <c r="D54" s="364"/>
      <c r="E54" s="364"/>
      <c r="F54" s="364"/>
      <c r="G54" s="364"/>
      <c r="H54" s="364"/>
    </row>
    <row r="55" spans="1:8" ht="15.4" customHeight="1" x14ac:dyDescent="0.25">
      <c r="A55" s="422"/>
      <c r="B55" s="643" t="s">
        <v>954</v>
      </c>
      <c r="C55" s="364"/>
      <c r="D55" s="364"/>
      <c r="E55" s="364"/>
      <c r="F55" s="364"/>
      <c r="G55" s="364"/>
      <c r="H55" s="364"/>
    </row>
    <row r="56" spans="1:8" ht="15.4" customHeight="1" x14ac:dyDescent="0.25">
      <c r="A56" s="422"/>
      <c r="B56" s="643" t="s">
        <v>1066</v>
      </c>
      <c r="C56" s="364"/>
      <c r="D56" s="364"/>
      <c r="E56" s="364"/>
      <c r="F56" s="364"/>
      <c r="G56" s="364"/>
      <c r="H56" s="364"/>
    </row>
    <row r="57" spans="1:8" ht="28.9" customHeight="1" x14ac:dyDescent="0.25">
      <c r="A57" s="780" t="s">
        <v>587</v>
      </c>
      <c r="B57" s="724" t="s">
        <v>597</v>
      </c>
      <c r="C57" s="364"/>
      <c r="D57" s="364"/>
      <c r="E57" s="364"/>
      <c r="F57" s="364"/>
      <c r="G57" s="364"/>
      <c r="H57" s="364"/>
    </row>
    <row r="58" spans="1:8" ht="15.4" customHeight="1" x14ac:dyDescent="0.25">
      <c r="A58" s="422"/>
      <c r="B58" s="643" t="s">
        <v>954</v>
      </c>
      <c r="C58" s="364"/>
      <c r="D58" s="364"/>
      <c r="E58" s="364"/>
      <c r="F58" s="364"/>
      <c r="G58" s="364"/>
      <c r="H58" s="364"/>
    </row>
    <row r="59" spans="1:8" ht="15.4" customHeight="1" x14ac:dyDescent="0.25">
      <c r="A59" s="221"/>
      <c r="B59" s="797" t="s">
        <v>1066</v>
      </c>
      <c r="C59" s="163"/>
      <c r="D59" s="163"/>
      <c r="E59" s="163"/>
      <c r="F59" s="163"/>
      <c r="G59" s="163"/>
      <c r="H59" s="163"/>
    </row>
    <row r="60" spans="1:8" ht="15" customHeight="1" x14ac:dyDescent="0.25">
      <c r="A60" s="625" t="s">
        <v>553</v>
      </c>
      <c r="B60" s="245"/>
      <c r="C60" s="245"/>
      <c r="D60" s="245"/>
      <c r="E60" s="245"/>
      <c r="F60" s="245"/>
      <c r="G60" s="245"/>
      <c r="H60" s="245"/>
    </row>
    <row r="61" spans="1:8" ht="15" customHeight="1" x14ac:dyDescent="0.25">
      <c r="A61" s="625" t="s">
        <v>538</v>
      </c>
      <c r="B61" s="245"/>
      <c r="C61" s="245"/>
      <c r="D61" s="245"/>
      <c r="E61" s="245"/>
      <c r="F61" s="245"/>
      <c r="G61" s="245"/>
      <c r="H61" s="245"/>
    </row>
    <row r="62" spans="1:8" ht="15" customHeight="1" x14ac:dyDescent="0.25">
      <c r="A62" s="625" t="s">
        <v>945</v>
      </c>
      <c r="B62" s="245"/>
      <c r="C62" s="245"/>
      <c r="D62" s="245"/>
      <c r="E62" s="245"/>
      <c r="F62" s="245"/>
      <c r="G62" s="245"/>
      <c r="H62" s="245"/>
    </row>
    <row r="63" spans="1:8" ht="15" customHeight="1" x14ac:dyDescent="0.25">
      <c r="A63" s="625" t="s">
        <v>959</v>
      </c>
      <c r="B63" s="245"/>
      <c r="C63" s="245"/>
      <c r="D63" s="245"/>
      <c r="E63" s="245"/>
      <c r="F63" s="245"/>
      <c r="G63" s="245"/>
      <c r="H63" s="245"/>
    </row>
    <row r="64" spans="1:8" ht="15" customHeight="1" x14ac:dyDescent="0.25">
      <c r="A64" s="625" t="s">
        <v>355</v>
      </c>
      <c r="B64" s="245"/>
      <c r="C64" s="245"/>
      <c r="D64" s="245"/>
      <c r="E64" s="245"/>
      <c r="F64" s="245"/>
      <c r="G64" s="245"/>
      <c r="H64" s="245"/>
    </row>
    <row r="65" spans="1:8" ht="15" customHeight="1" x14ac:dyDescent="0.25">
      <c r="A65" s="245"/>
      <c r="B65" s="625" t="s">
        <v>632</v>
      </c>
      <c r="C65" s="245"/>
      <c r="D65" s="245"/>
      <c r="E65" s="245"/>
      <c r="F65" s="245"/>
      <c r="G65" s="245"/>
      <c r="H65" s="245"/>
    </row>
    <row r="66" spans="1:8" ht="15" customHeight="1" x14ac:dyDescent="0.25">
      <c r="A66" s="245"/>
      <c r="B66" s="245"/>
      <c r="C66" s="245"/>
      <c r="D66" s="245"/>
      <c r="E66" s="245"/>
      <c r="F66" s="245"/>
      <c r="G66" s="245"/>
      <c r="H66" s="245"/>
    </row>
    <row r="67" spans="1:8" ht="15" customHeight="1" x14ac:dyDescent="0.25">
      <c r="A67" s="267"/>
      <c r="B67" s="267"/>
      <c r="C67" s="267"/>
      <c r="D67" s="267"/>
      <c r="E67" s="267"/>
      <c r="F67" s="1349" t="s">
        <v>400</v>
      </c>
      <c r="G67" s="1326"/>
      <c r="H67" s="1326"/>
    </row>
    <row r="68" spans="1:8" ht="15" customHeight="1" x14ac:dyDescent="0.25">
      <c r="A68" s="267"/>
      <c r="B68" s="528" t="s">
        <v>1014</v>
      </c>
      <c r="C68" s="267"/>
      <c r="D68" s="267"/>
      <c r="E68" s="267"/>
      <c r="F68" s="1350" t="s">
        <v>335</v>
      </c>
      <c r="G68" s="1326"/>
      <c r="H68" s="1326"/>
    </row>
    <row r="69" spans="1:8" ht="15" customHeight="1" x14ac:dyDescent="0.25">
      <c r="A69" s="267"/>
      <c r="B69" s="650" t="s">
        <v>324</v>
      </c>
      <c r="C69" s="267"/>
      <c r="D69" s="267"/>
      <c r="E69" s="267"/>
      <c r="F69" s="1349" t="s">
        <v>1296</v>
      </c>
      <c r="G69" s="1326"/>
      <c r="H69" s="1326"/>
    </row>
    <row r="70" spans="1:8" ht="15" customHeight="1" x14ac:dyDescent="0.25">
      <c r="A70" s="267"/>
      <c r="B70" s="650" t="s">
        <v>694</v>
      </c>
      <c r="C70" s="267"/>
      <c r="D70" s="267"/>
      <c r="E70" s="267"/>
      <c r="F70" s="1349" t="s">
        <v>694</v>
      </c>
      <c r="G70" s="1326"/>
      <c r="H70" s="1326"/>
    </row>
    <row r="71" spans="1:8" ht="15" customHeight="1" x14ac:dyDescent="0.25">
      <c r="A71" s="855"/>
      <c r="B71" s="855"/>
      <c r="C71" s="855"/>
      <c r="D71" s="855"/>
      <c r="E71" s="855"/>
      <c r="F71" s="855"/>
      <c r="G71" s="855"/>
      <c r="H71" s="855"/>
    </row>
    <row r="72" spans="1:8" ht="15" customHeight="1" x14ac:dyDescent="0.25">
      <c r="A72" s="855"/>
      <c r="B72" s="855"/>
      <c r="C72" s="855"/>
      <c r="D72" s="855"/>
      <c r="E72" s="855"/>
      <c r="F72" s="855"/>
      <c r="G72" s="855"/>
      <c r="H72" s="855"/>
    </row>
    <row r="73" spans="1:8" ht="15" customHeight="1" x14ac:dyDescent="0.25">
      <c r="A73" s="855"/>
      <c r="B73" s="855"/>
      <c r="C73" s="855"/>
      <c r="D73" s="855"/>
      <c r="E73" s="855"/>
      <c r="F73" s="855"/>
      <c r="G73" s="855"/>
      <c r="H73" s="855"/>
    </row>
    <row r="74" spans="1:8" ht="15" customHeight="1" x14ac:dyDescent="0.25">
      <c r="A74" s="855"/>
      <c r="B74" s="855"/>
      <c r="C74" s="855"/>
      <c r="D74" s="855"/>
      <c r="E74" s="855"/>
      <c r="F74" s="855"/>
      <c r="G74" s="855"/>
      <c r="H74" s="855"/>
    </row>
    <row r="75" spans="1:8" ht="15" customHeight="1" x14ac:dyDescent="0.25">
      <c r="A75" s="855"/>
      <c r="B75" s="855"/>
      <c r="C75" s="855"/>
      <c r="D75" s="855"/>
      <c r="E75" s="855"/>
      <c r="F75" s="855"/>
      <c r="G75" s="855"/>
      <c r="H75" s="855"/>
    </row>
    <row r="76" spans="1:8" ht="15" customHeight="1" x14ac:dyDescent="0.25">
      <c r="A76" s="855"/>
      <c r="B76" s="855"/>
      <c r="C76" s="855"/>
      <c r="D76" s="855"/>
      <c r="E76" s="855"/>
      <c r="F76" s="855"/>
      <c r="G76" s="855"/>
      <c r="H76" s="855"/>
    </row>
    <row r="77" spans="1:8" ht="15" customHeight="1" x14ac:dyDescent="0.25">
      <c r="A77" s="855"/>
      <c r="B77" s="855"/>
      <c r="C77" s="855"/>
      <c r="D77" s="855"/>
      <c r="E77" s="855"/>
      <c r="F77" s="855"/>
      <c r="G77" s="855"/>
      <c r="H77" s="855"/>
    </row>
    <row r="78" spans="1:8" ht="15" customHeight="1" x14ac:dyDescent="0.25">
      <c r="A78" s="855"/>
      <c r="B78" s="855"/>
      <c r="C78" s="855"/>
      <c r="D78" s="855"/>
      <c r="E78" s="855"/>
      <c r="F78" s="855"/>
      <c r="G78" s="855"/>
      <c r="H78" s="855"/>
    </row>
    <row r="79" spans="1:8" ht="15" customHeight="1" x14ac:dyDescent="0.25">
      <c r="A79" s="855"/>
      <c r="B79" s="855"/>
      <c r="C79" s="855"/>
      <c r="D79" s="855"/>
      <c r="E79" s="855"/>
      <c r="F79" s="855"/>
      <c r="G79" s="855"/>
      <c r="H79" s="855"/>
    </row>
    <row r="80" spans="1:8" ht="15" customHeight="1" x14ac:dyDescent="0.25">
      <c r="A80" s="855"/>
      <c r="B80" s="855"/>
      <c r="C80" s="855"/>
      <c r="D80" s="855"/>
      <c r="E80" s="855"/>
      <c r="F80" s="855"/>
      <c r="G80" s="855"/>
      <c r="H80" s="855"/>
    </row>
  </sheetData>
  <mergeCells count="12">
    <mergeCell ref="F67:H67"/>
    <mergeCell ref="F68:H68"/>
    <mergeCell ref="F69:H69"/>
    <mergeCell ref="F70:H70"/>
    <mergeCell ref="A2:H2"/>
    <mergeCell ref="A11:A13"/>
    <mergeCell ref="B11:B13"/>
    <mergeCell ref="C11:C13"/>
    <mergeCell ref="D11:F11"/>
    <mergeCell ref="G11:G13"/>
    <mergeCell ref="H11:H13"/>
    <mergeCell ref="E12:F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Q200"/>
  <sheetViews>
    <sheetView showZeros="0" workbookViewId="0">
      <pane xSplit="1" ySplit="1" topLeftCell="B11" activePane="bottomRight" state="frozen"/>
      <selection sqref="A1:AE1"/>
      <selection pane="topRight" sqref="A1:AE1"/>
      <selection pane="bottomLeft" sqref="A1:AE1"/>
      <selection pane="bottomRight" sqref="A1:AE1"/>
    </sheetView>
  </sheetViews>
  <sheetFormatPr defaultRowHeight="15" x14ac:dyDescent="0.25"/>
  <cols>
    <col min="1" max="1" width="4.85546875" customWidth="1"/>
    <col min="2" max="2" width="8.7109375" customWidth="1"/>
    <col min="3" max="3" width="21" customWidth="1"/>
    <col min="4" max="4" width="5" customWidth="1"/>
    <col min="5" max="5" width="8.85546875" hidden="1" customWidth="1"/>
    <col min="6" max="6" width="8" customWidth="1"/>
    <col min="7" max="7" width="7.140625" customWidth="1"/>
    <col min="8" max="8" width="14.7109375" customWidth="1"/>
    <col min="9" max="9" width="8.85546875" hidden="1" customWidth="1"/>
    <col min="10" max="10" width="13.28515625" customWidth="1"/>
    <col min="11" max="12" width="7.28515625" customWidth="1"/>
    <col min="13" max="15" width="8.28515625" customWidth="1"/>
    <col min="16" max="16" width="8.7109375" customWidth="1"/>
    <col min="17" max="17" width="7.7109375" customWidth="1"/>
    <col min="18" max="18" width="6.28515625" customWidth="1"/>
    <col min="19" max="23" width="8.85546875" hidden="1" customWidth="1"/>
    <col min="24" max="27" width="8" customWidth="1"/>
    <col min="28" max="30" width="10.28515625" customWidth="1"/>
    <col min="31" max="32" width="10" customWidth="1"/>
    <col min="33" max="35" width="10.28515625" customWidth="1"/>
    <col min="36" max="36" width="10" customWidth="1"/>
    <col min="37" max="37" width="8" customWidth="1"/>
    <col min="38" max="38" width="9" customWidth="1"/>
    <col min="39" max="39" width="5.7109375" customWidth="1"/>
    <col min="40" max="43" width="9" customWidth="1"/>
  </cols>
  <sheetData>
    <row r="1" spans="1:43" ht="18.75" x14ac:dyDescent="0.3">
      <c r="A1" s="1112" t="s">
        <v>939</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861"/>
      <c r="AG1" s="808"/>
      <c r="AH1" s="808"/>
      <c r="AI1" s="808"/>
      <c r="AJ1" s="808"/>
      <c r="AK1" s="808"/>
      <c r="AL1" s="808"/>
      <c r="AM1" s="808"/>
      <c r="AN1" s="808"/>
      <c r="AO1" s="808"/>
      <c r="AP1" s="266"/>
      <c r="AQ1" s="266"/>
    </row>
    <row r="2" spans="1:43" ht="17.649999999999999" customHeight="1" x14ac:dyDescent="0.3">
      <c r="A2" s="1112" t="s">
        <v>197</v>
      </c>
      <c r="B2" s="1112"/>
      <c r="C2" s="1112"/>
      <c r="D2" s="1112"/>
      <c r="E2" s="1112"/>
      <c r="F2" s="1112"/>
      <c r="G2" s="1112"/>
      <c r="H2" s="1112"/>
      <c r="I2" s="1112"/>
      <c r="J2" s="1112"/>
      <c r="K2" s="1112"/>
      <c r="L2" s="1112"/>
      <c r="M2" s="1112"/>
      <c r="N2" s="1112"/>
      <c r="O2" s="1112"/>
      <c r="P2" s="1112"/>
      <c r="Q2" s="1112"/>
      <c r="R2" s="1112"/>
      <c r="S2" s="1112"/>
      <c r="T2" s="1112"/>
      <c r="U2" s="1112"/>
      <c r="V2" s="1112"/>
      <c r="W2" s="1112"/>
      <c r="X2" s="1112"/>
      <c r="Y2" s="1112"/>
      <c r="Z2" s="1112"/>
      <c r="AA2" s="1112"/>
      <c r="AB2" s="1112"/>
      <c r="AC2" s="1112"/>
      <c r="AD2" s="1112"/>
      <c r="AE2" s="1112"/>
      <c r="AF2" s="861"/>
      <c r="AG2" s="808"/>
      <c r="AH2" s="808"/>
      <c r="AI2" s="808"/>
      <c r="AJ2" s="808"/>
      <c r="AK2" s="808"/>
      <c r="AL2" s="808"/>
      <c r="AM2" s="808"/>
      <c r="AN2" s="808"/>
      <c r="AO2" s="808"/>
      <c r="AP2" s="266"/>
      <c r="AQ2" s="266"/>
    </row>
    <row r="3" spans="1:43" ht="17.649999999999999" customHeight="1" x14ac:dyDescent="0.3">
      <c r="A3" s="1113" t="s">
        <v>1409</v>
      </c>
      <c r="B3" s="1113"/>
      <c r="C3" s="1113"/>
      <c r="D3" s="1113"/>
      <c r="E3" s="1113"/>
      <c r="F3" s="1113"/>
      <c r="G3" s="1113"/>
      <c r="H3" s="1113"/>
      <c r="I3" s="1113"/>
      <c r="J3" s="1113"/>
      <c r="K3" s="1113"/>
      <c r="L3" s="1113"/>
      <c r="M3" s="1113"/>
      <c r="N3" s="1113"/>
      <c r="O3" s="1113"/>
      <c r="P3" s="1113"/>
      <c r="Q3" s="1113"/>
      <c r="R3" s="1113"/>
      <c r="S3" s="1113"/>
      <c r="T3" s="1113"/>
      <c r="U3" s="1113"/>
      <c r="V3" s="1113"/>
      <c r="W3" s="1113"/>
      <c r="X3" s="1113"/>
      <c r="Y3" s="1113"/>
      <c r="Z3" s="1113"/>
      <c r="AA3" s="1113"/>
      <c r="AB3" s="1113"/>
      <c r="AC3" s="1113"/>
      <c r="AD3" s="1113"/>
      <c r="AE3" s="1113"/>
      <c r="AF3" s="823"/>
      <c r="AG3" s="1114" t="s">
        <v>21</v>
      </c>
      <c r="AH3" s="1114"/>
      <c r="AI3" s="1114"/>
      <c r="AJ3" s="672">
        <v>228618</v>
      </c>
      <c r="AK3" s="808"/>
      <c r="AL3" s="808"/>
      <c r="AM3" s="808"/>
      <c r="AN3" s="808"/>
      <c r="AO3" s="808"/>
      <c r="AP3" s="266"/>
      <c r="AQ3" s="266"/>
    </row>
    <row r="4" spans="1:43" ht="17.649999999999999" customHeight="1" x14ac:dyDescent="0.25">
      <c r="A4" s="1104" t="s">
        <v>1323</v>
      </c>
      <c r="B4" s="1108" t="s">
        <v>552</v>
      </c>
      <c r="C4" s="1104" t="s">
        <v>275</v>
      </c>
      <c r="D4" s="1104" t="s">
        <v>1448</v>
      </c>
      <c r="E4" s="1104" t="s">
        <v>1155</v>
      </c>
      <c r="F4" s="1106" t="s">
        <v>745</v>
      </c>
      <c r="G4" s="1104" t="s">
        <v>381</v>
      </c>
      <c r="H4" s="1108" t="s">
        <v>800</v>
      </c>
      <c r="I4" s="1108" t="s">
        <v>707</v>
      </c>
      <c r="J4" s="1104" t="s">
        <v>177</v>
      </c>
      <c r="K4" s="1104" t="s">
        <v>716</v>
      </c>
      <c r="L4" s="1110" t="s">
        <v>201</v>
      </c>
      <c r="M4" s="1111"/>
      <c r="N4" s="1111"/>
      <c r="O4" s="1111"/>
      <c r="P4" s="1111"/>
      <c r="Q4" s="1111"/>
      <c r="R4" s="1111"/>
      <c r="S4" s="778"/>
      <c r="T4" s="1104" t="s">
        <v>374</v>
      </c>
      <c r="U4" s="1104" t="s">
        <v>537</v>
      </c>
      <c r="V4" s="1108" t="s">
        <v>371</v>
      </c>
      <c r="W4" s="1108" t="s">
        <v>367</v>
      </c>
      <c r="X4" s="1110" t="s">
        <v>382</v>
      </c>
      <c r="Y4" s="1111"/>
      <c r="Z4" s="1111"/>
      <c r="AA4" s="1117"/>
      <c r="AB4" s="1106" t="s">
        <v>284</v>
      </c>
      <c r="AC4" s="1110" t="s">
        <v>139</v>
      </c>
      <c r="AD4" s="1111"/>
      <c r="AE4" s="1111"/>
      <c r="AF4" s="1117"/>
      <c r="AG4" s="1110" t="s">
        <v>285</v>
      </c>
      <c r="AH4" s="1111"/>
      <c r="AI4" s="1111"/>
      <c r="AJ4" s="1117"/>
      <c r="AK4" s="1108" t="s">
        <v>3</v>
      </c>
      <c r="AL4" s="1115" t="s">
        <v>898</v>
      </c>
      <c r="AM4" s="1108" t="s">
        <v>1144</v>
      </c>
      <c r="AN4" s="1115" t="s">
        <v>672</v>
      </c>
      <c r="AO4" s="1115" t="s">
        <v>872</v>
      </c>
      <c r="AP4" s="6"/>
      <c r="AQ4" s="6"/>
    </row>
    <row r="5" spans="1:43" ht="25.15" customHeight="1" x14ac:dyDescent="0.25">
      <c r="A5" s="1105"/>
      <c r="B5" s="1109"/>
      <c r="C5" s="1105"/>
      <c r="D5" s="1105"/>
      <c r="E5" s="1105"/>
      <c r="F5" s="1107"/>
      <c r="G5" s="1105"/>
      <c r="H5" s="1109"/>
      <c r="I5" s="1109"/>
      <c r="J5" s="1105"/>
      <c r="K5" s="1105"/>
      <c r="L5" s="606" t="s">
        <v>334</v>
      </c>
      <c r="M5" s="606" t="s">
        <v>431</v>
      </c>
      <c r="N5" s="606" t="s">
        <v>1414</v>
      </c>
      <c r="O5" s="606" t="s">
        <v>715</v>
      </c>
      <c r="P5" s="606" t="s">
        <v>1161</v>
      </c>
      <c r="Q5" s="606" t="s">
        <v>404</v>
      </c>
      <c r="R5" s="606" t="s">
        <v>1008</v>
      </c>
      <c r="S5" s="606" t="s">
        <v>511</v>
      </c>
      <c r="T5" s="1105"/>
      <c r="U5" s="1105"/>
      <c r="V5" s="1109"/>
      <c r="W5" s="1109"/>
      <c r="X5" s="618" t="s">
        <v>1385</v>
      </c>
      <c r="Y5" s="618" t="s">
        <v>468</v>
      </c>
      <c r="Z5" s="618" t="s">
        <v>1292</v>
      </c>
      <c r="AA5" s="618" t="s">
        <v>1160</v>
      </c>
      <c r="AB5" s="1107"/>
      <c r="AC5" s="618" t="s">
        <v>431</v>
      </c>
      <c r="AD5" s="618" t="s">
        <v>1414</v>
      </c>
      <c r="AE5" s="618" t="s">
        <v>715</v>
      </c>
      <c r="AF5" s="618" t="s">
        <v>1161</v>
      </c>
      <c r="AG5" s="618" t="s">
        <v>16</v>
      </c>
      <c r="AH5" s="618" t="s">
        <v>1363</v>
      </c>
      <c r="AI5" s="618" t="s">
        <v>1284</v>
      </c>
      <c r="AJ5" s="618" t="s">
        <v>728</v>
      </c>
      <c r="AK5" s="1109"/>
      <c r="AL5" s="1116"/>
      <c r="AM5" s="1109"/>
      <c r="AN5" s="1116"/>
      <c r="AO5" s="1116"/>
      <c r="AP5" s="6"/>
      <c r="AQ5" s="6"/>
    </row>
    <row r="6" spans="1:43" ht="55.15" customHeight="1" x14ac:dyDescent="0.25">
      <c r="A6" s="384">
        <v>1</v>
      </c>
      <c r="B6" s="384" t="s">
        <v>258</v>
      </c>
      <c r="C6" s="883" t="s">
        <v>1061</v>
      </c>
      <c r="D6" s="384" t="s">
        <v>28</v>
      </c>
      <c r="E6" s="591">
        <v>0</v>
      </c>
      <c r="F6" s="442">
        <v>1</v>
      </c>
      <c r="G6" s="591"/>
      <c r="H6" s="635" t="s">
        <v>348</v>
      </c>
      <c r="I6" s="610"/>
      <c r="J6" s="324" t="s">
        <v>385</v>
      </c>
      <c r="K6" s="384">
        <f t="shared" ref="K6:K9" si="0">L6</f>
        <v>0</v>
      </c>
      <c r="L6" s="324">
        <v>0</v>
      </c>
      <c r="M6" s="384">
        <f t="shared" ref="M6:M10" si="1">MIN(L6,1)</f>
        <v>0</v>
      </c>
      <c r="N6" s="384">
        <f t="shared" ref="N6:N10" si="2">IF(L6&lt;10,L6-M6,9)</f>
        <v>0</v>
      </c>
      <c r="O6" s="384">
        <f t="shared" ref="O6:O10" si="3">IF(L6&lt;60,L6-M6-N6,50)</f>
        <v>0</v>
      </c>
      <c r="P6" s="384">
        <f t="shared" ref="P6:P25" si="4">L6-M6-N6-O6</f>
        <v>0</v>
      </c>
      <c r="Q6" s="635" t="s">
        <v>73</v>
      </c>
      <c r="R6" s="384">
        <v>0.56999999999999995</v>
      </c>
      <c r="S6" s="883"/>
      <c r="T6" s="384"/>
      <c r="U6" s="384"/>
      <c r="V6" s="384"/>
      <c r="W6" s="384"/>
      <c r="X6" s="89">
        <v>2.5999999999999999E-2</v>
      </c>
      <c r="Y6" s="290">
        <v>2.1000000000000001E-2</v>
      </c>
      <c r="Z6" s="290">
        <v>1.7000000000000001E-2</v>
      </c>
      <c r="AA6" s="494">
        <v>1.6150000000000001E-2</v>
      </c>
      <c r="AB6" s="442">
        <f>VLOOKUP(J6,CauHinh_0!$C$7:$D$13,2,0)</f>
        <v>1350950.9500000002</v>
      </c>
      <c r="AC6" s="442">
        <f t="shared" ref="AC6:AC10" si="5">R6*X6*AB6</f>
        <v>20021.093078999998</v>
      </c>
      <c r="AD6" s="442">
        <f t="shared" ref="AD6:AD10" si="6">R6*Y6*AB6</f>
        <v>16170.882871500002</v>
      </c>
      <c r="AE6" s="442">
        <f t="shared" ref="AE6:AE10" si="7">R6*Z6*AB6</f>
        <v>13090.714705500002</v>
      </c>
      <c r="AF6" s="442">
        <f t="shared" ref="AF6:AF10" si="8">R6*AA6*AB6</f>
        <v>12436.178970225003</v>
      </c>
      <c r="AG6" s="324">
        <v>0</v>
      </c>
      <c r="AH6" s="442">
        <f>ROUND(AG6*AJ3,0)</f>
        <v>0</v>
      </c>
      <c r="AI6" s="324">
        <v>0</v>
      </c>
      <c r="AJ6" s="442">
        <f>ROUND(AI6*AJ3,0)</f>
        <v>0</v>
      </c>
      <c r="AK6" s="583">
        <v>0</v>
      </c>
      <c r="AL6" s="442">
        <f t="shared" ref="AL6:AL9" si="9">(M6*AC6)+(N6*AD6)+(O6*AE6)+(P6*AF6)+AK6</f>
        <v>0</v>
      </c>
      <c r="AM6" s="637">
        <v>1</v>
      </c>
      <c r="AN6" s="712">
        <f t="shared" ref="AN6:AN10" si="10">AL6*AM6</f>
        <v>0</v>
      </c>
      <c r="AO6" s="712">
        <f t="shared" ref="AO6:AO10" si="11">(AN6/F6)+AH6+AJ6</f>
        <v>0</v>
      </c>
      <c r="AP6" s="160"/>
      <c r="AQ6" s="160"/>
    </row>
    <row r="7" spans="1:43" ht="14.1" customHeight="1" x14ac:dyDescent="0.25">
      <c r="A7" s="17">
        <v>2</v>
      </c>
      <c r="B7" s="17" t="s">
        <v>1290</v>
      </c>
      <c r="C7" s="906" t="s">
        <v>1204</v>
      </c>
      <c r="D7" s="17" t="s">
        <v>144</v>
      </c>
      <c r="E7" s="605">
        <v>0</v>
      </c>
      <c r="F7" s="461">
        <v>10</v>
      </c>
      <c r="G7" s="605"/>
      <c r="H7" s="100" t="s">
        <v>88</v>
      </c>
      <c r="I7" s="632"/>
      <c r="J7" s="125" t="s">
        <v>55</v>
      </c>
      <c r="K7" s="17">
        <f t="shared" si="0"/>
        <v>20</v>
      </c>
      <c r="L7" s="125">
        <v>20</v>
      </c>
      <c r="M7" s="17">
        <f t="shared" si="1"/>
        <v>1</v>
      </c>
      <c r="N7" s="17">
        <f t="shared" si="2"/>
        <v>9</v>
      </c>
      <c r="O7" s="17">
        <f t="shared" si="3"/>
        <v>10</v>
      </c>
      <c r="P7" s="17">
        <f t="shared" si="4"/>
        <v>0</v>
      </c>
      <c r="Q7" s="100" t="s">
        <v>1199</v>
      </c>
      <c r="R7" s="17">
        <v>1.8</v>
      </c>
      <c r="S7" s="906"/>
      <c r="T7" s="17"/>
      <c r="U7" s="17"/>
      <c r="V7" s="17"/>
      <c r="W7" s="17"/>
      <c r="X7" s="451">
        <v>3.4000000000000002E-2</v>
      </c>
      <c r="Y7" s="661">
        <v>2.5000000000000001E-2</v>
      </c>
      <c r="Z7" s="661">
        <v>1.7999999999999999E-2</v>
      </c>
      <c r="AA7" s="326">
        <v>1.7100000000000001E-2</v>
      </c>
      <c r="AB7" s="461">
        <f>VLOOKUP(J7,CauHinh_0!$C$7:$D$13,2,0)</f>
        <v>1853659.4</v>
      </c>
      <c r="AC7" s="461">
        <f t="shared" si="5"/>
        <v>113443.95528000001</v>
      </c>
      <c r="AD7" s="461">
        <f t="shared" si="6"/>
        <v>83414.67300000001</v>
      </c>
      <c r="AE7" s="461">
        <f t="shared" si="7"/>
        <v>60058.564559999992</v>
      </c>
      <c r="AF7" s="461">
        <f t="shared" si="8"/>
        <v>57055.636332000002</v>
      </c>
      <c r="AG7" s="125">
        <v>0</v>
      </c>
      <c r="AH7" s="461">
        <f>ROUND(AG7*AJ3,0)</f>
        <v>0</v>
      </c>
      <c r="AI7" s="125">
        <v>0</v>
      </c>
      <c r="AJ7" s="461">
        <f>ROUND(AI7*AJ3,0)</f>
        <v>0</v>
      </c>
      <c r="AK7" s="55">
        <v>0</v>
      </c>
      <c r="AL7" s="461">
        <f t="shared" si="9"/>
        <v>1464761.6578799998</v>
      </c>
      <c r="AM7" s="906">
        <v>1</v>
      </c>
      <c r="AN7" s="461">
        <f t="shared" si="10"/>
        <v>1464761.6578799998</v>
      </c>
      <c r="AO7" s="461">
        <f t="shared" si="11"/>
        <v>146476.16578799998</v>
      </c>
      <c r="AP7" s="160"/>
      <c r="AQ7" s="160"/>
    </row>
    <row r="8" spans="1:43" ht="14.1" customHeight="1" x14ac:dyDescent="0.25">
      <c r="A8" s="17">
        <v>3</v>
      </c>
      <c r="B8" s="17" t="s">
        <v>1290</v>
      </c>
      <c r="C8" s="906" t="s">
        <v>103</v>
      </c>
      <c r="D8" s="17" t="s">
        <v>144</v>
      </c>
      <c r="E8" s="605">
        <v>0</v>
      </c>
      <c r="F8" s="461">
        <v>10</v>
      </c>
      <c r="G8" s="605"/>
      <c r="H8" s="100" t="s">
        <v>88</v>
      </c>
      <c r="I8" s="632"/>
      <c r="J8" s="125" t="s">
        <v>55</v>
      </c>
      <c r="K8" s="17">
        <f t="shared" si="0"/>
        <v>20</v>
      </c>
      <c r="L8" s="125">
        <v>20</v>
      </c>
      <c r="M8" s="17">
        <f t="shared" si="1"/>
        <v>1</v>
      </c>
      <c r="N8" s="17">
        <f t="shared" si="2"/>
        <v>9</v>
      </c>
      <c r="O8" s="17">
        <f t="shared" si="3"/>
        <v>10</v>
      </c>
      <c r="P8" s="17">
        <f t="shared" si="4"/>
        <v>0</v>
      </c>
      <c r="Q8" s="100" t="s">
        <v>1199</v>
      </c>
      <c r="R8" s="17">
        <v>1.8</v>
      </c>
      <c r="S8" s="906"/>
      <c r="T8" s="17"/>
      <c r="U8" s="17"/>
      <c r="V8" s="17"/>
      <c r="W8" s="17"/>
      <c r="X8" s="451">
        <v>3.4000000000000002E-2</v>
      </c>
      <c r="Y8" s="661">
        <v>2.5000000000000001E-2</v>
      </c>
      <c r="Z8" s="661">
        <v>1.7999999999999999E-2</v>
      </c>
      <c r="AA8" s="326">
        <v>1.7100000000000001E-2</v>
      </c>
      <c r="AB8" s="461">
        <f>VLOOKUP(J8,CauHinh_0!$C$7:$D$13,2,0)</f>
        <v>1853659.4</v>
      </c>
      <c r="AC8" s="461">
        <f t="shared" si="5"/>
        <v>113443.95528000001</v>
      </c>
      <c r="AD8" s="461">
        <f t="shared" si="6"/>
        <v>83414.67300000001</v>
      </c>
      <c r="AE8" s="461">
        <f t="shared" si="7"/>
        <v>60058.564559999992</v>
      </c>
      <c r="AF8" s="461">
        <f t="shared" si="8"/>
        <v>57055.636332000002</v>
      </c>
      <c r="AG8" s="125">
        <v>0</v>
      </c>
      <c r="AH8" s="461">
        <f>ROUND(AG8*AJ3,0)</f>
        <v>0</v>
      </c>
      <c r="AI8" s="125">
        <v>0</v>
      </c>
      <c r="AJ8" s="461">
        <f>ROUND(AI8*AJ3,0)</f>
        <v>0</v>
      </c>
      <c r="AK8" s="55">
        <v>0</v>
      </c>
      <c r="AL8" s="461">
        <f t="shared" si="9"/>
        <v>1464761.6578799998</v>
      </c>
      <c r="AM8" s="906">
        <v>1</v>
      </c>
      <c r="AN8" s="461">
        <f t="shared" si="10"/>
        <v>1464761.6578799998</v>
      </c>
      <c r="AO8" s="461">
        <f t="shared" si="11"/>
        <v>146476.16578799998</v>
      </c>
      <c r="AP8" s="160"/>
      <c r="AQ8" s="160"/>
    </row>
    <row r="9" spans="1:43" ht="14.1" customHeight="1" x14ac:dyDescent="0.25">
      <c r="A9" s="17">
        <v>4</v>
      </c>
      <c r="B9" s="17" t="s">
        <v>142</v>
      </c>
      <c r="C9" s="906" t="s">
        <v>1204</v>
      </c>
      <c r="D9" s="17" t="s">
        <v>144</v>
      </c>
      <c r="E9" s="605">
        <v>0</v>
      </c>
      <c r="F9" s="461">
        <v>10</v>
      </c>
      <c r="G9" s="605"/>
      <c r="H9" s="100" t="s">
        <v>88</v>
      </c>
      <c r="I9" s="632"/>
      <c r="J9" s="125" t="s">
        <v>55</v>
      </c>
      <c r="K9" s="17">
        <f t="shared" si="0"/>
        <v>20</v>
      </c>
      <c r="L9" s="125">
        <v>20</v>
      </c>
      <c r="M9" s="17">
        <f t="shared" si="1"/>
        <v>1</v>
      </c>
      <c r="N9" s="17">
        <f t="shared" si="2"/>
        <v>9</v>
      </c>
      <c r="O9" s="17">
        <f t="shared" si="3"/>
        <v>10</v>
      </c>
      <c r="P9" s="17">
        <f t="shared" si="4"/>
        <v>0</v>
      </c>
      <c r="Q9" s="100" t="s">
        <v>1199</v>
      </c>
      <c r="R9" s="17">
        <v>1.8</v>
      </c>
      <c r="S9" s="906"/>
      <c r="T9" s="17"/>
      <c r="U9" s="17"/>
      <c r="V9" s="17"/>
      <c r="W9" s="17"/>
      <c r="X9" s="451">
        <v>3.4000000000000002E-2</v>
      </c>
      <c r="Y9" s="661">
        <v>2.5000000000000001E-2</v>
      </c>
      <c r="Z9" s="661">
        <v>1.7999999999999999E-2</v>
      </c>
      <c r="AA9" s="326">
        <v>1.7100000000000001E-2</v>
      </c>
      <c r="AB9" s="461">
        <f>VLOOKUP(J9,CauHinh_0!$C$7:$D$13,2,0)</f>
        <v>1853659.4</v>
      </c>
      <c r="AC9" s="461">
        <f t="shared" si="5"/>
        <v>113443.95528000001</v>
      </c>
      <c r="AD9" s="461">
        <f t="shared" si="6"/>
        <v>83414.67300000001</v>
      </c>
      <c r="AE9" s="461">
        <f t="shared" si="7"/>
        <v>60058.564559999992</v>
      </c>
      <c r="AF9" s="461">
        <f t="shared" si="8"/>
        <v>57055.636332000002</v>
      </c>
      <c r="AG9" s="125">
        <v>0</v>
      </c>
      <c r="AH9" s="461">
        <f>ROUND(AG9*AJ3,0)</f>
        <v>0</v>
      </c>
      <c r="AI9" s="125">
        <v>0</v>
      </c>
      <c r="AJ9" s="461">
        <f>ROUND(AI9*AJ3,0)</f>
        <v>0</v>
      </c>
      <c r="AK9" s="55">
        <v>0</v>
      </c>
      <c r="AL9" s="461">
        <f t="shared" si="9"/>
        <v>1464761.6578799998</v>
      </c>
      <c r="AM9" s="906">
        <v>1</v>
      </c>
      <c r="AN9" s="461">
        <f t="shared" si="10"/>
        <v>1464761.6578799998</v>
      </c>
      <c r="AO9" s="461">
        <f t="shared" si="11"/>
        <v>146476.16578799998</v>
      </c>
      <c r="AP9" s="160"/>
      <c r="AQ9" s="160"/>
    </row>
    <row r="10" spans="1:43" ht="14.1" customHeight="1" x14ac:dyDescent="0.25">
      <c r="A10" s="17">
        <v>5</v>
      </c>
      <c r="B10" s="17" t="s">
        <v>95</v>
      </c>
      <c r="C10" s="906" t="s">
        <v>630</v>
      </c>
      <c r="D10" s="17" t="s">
        <v>144</v>
      </c>
      <c r="E10" s="605">
        <v>0</v>
      </c>
      <c r="F10" s="461">
        <v>10</v>
      </c>
      <c r="G10" s="605" t="s">
        <v>518</v>
      </c>
      <c r="H10" s="100" t="s">
        <v>827</v>
      </c>
      <c r="I10" s="632"/>
      <c r="J10" s="125" t="s">
        <v>55</v>
      </c>
      <c r="K10" s="17">
        <f>L11+L10</f>
        <v>30</v>
      </c>
      <c r="L10" s="125">
        <v>5</v>
      </c>
      <c r="M10" s="17">
        <f t="shared" si="1"/>
        <v>1</v>
      </c>
      <c r="N10" s="17">
        <f t="shared" si="2"/>
        <v>4</v>
      </c>
      <c r="O10" s="17">
        <f t="shared" si="3"/>
        <v>0</v>
      </c>
      <c r="P10" s="17">
        <f t="shared" si="4"/>
        <v>0</v>
      </c>
      <c r="Q10" s="100" t="s">
        <v>47</v>
      </c>
      <c r="R10" s="17">
        <v>0.68</v>
      </c>
      <c r="S10" s="906"/>
      <c r="T10" s="17"/>
      <c r="U10" s="17"/>
      <c r="V10" s="17"/>
      <c r="W10" s="17"/>
      <c r="X10" s="451">
        <v>2.7E-2</v>
      </c>
      <c r="Y10" s="661">
        <v>1.9E-2</v>
      </c>
      <c r="Z10" s="661">
        <v>1.4E-2</v>
      </c>
      <c r="AA10" s="326">
        <v>1.3299999999999999E-2</v>
      </c>
      <c r="AB10" s="461">
        <f>VLOOKUP(J10,CauHinh_0!$C$7:$D$13,2,0)</f>
        <v>1853659.4</v>
      </c>
      <c r="AC10" s="461">
        <f t="shared" si="5"/>
        <v>34033.186584000003</v>
      </c>
      <c r="AD10" s="461">
        <f t="shared" si="6"/>
        <v>23949.279448000001</v>
      </c>
      <c r="AE10" s="461">
        <f t="shared" si="7"/>
        <v>17646.837488000001</v>
      </c>
      <c r="AF10" s="461">
        <f t="shared" si="8"/>
        <v>16764.4956136</v>
      </c>
      <c r="AG10" s="125">
        <v>0</v>
      </c>
      <c r="AH10" s="461">
        <f>ROUND(AG10*AJ3,0)</f>
        <v>0</v>
      </c>
      <c r="AI10" s="125">
        <v>0</v>
      </c>
      <c r="AJ10" s="461">
        <f>ROUND(AI10*AJ3,0)</f>
        <v>0</v>
      </c>
      <c r="AK10" s="55">
        <v>0</v>
      </c>
      <c r="AL10" s="461">
        <f>(M10*AC10)+(N10*AD10)+(O10*AE10)+(P10*AF10)+AK10+AL11</f>
        <v>1381050.399376</v>
      </c>
      <c r="AM10" s="906">
        <v>1</v>
      </c>
      <c r="AN10" s="461">
        <f t="shared" si="10"/>
        <v>1381050.399376</v>
      </c>
      <c r="AO10" s="461">
        <f t="shared" si="11"/>
        <v>138105.0399376</v>
      </c>
      <c r="AP10" s="160"/>
      <c r="AQ10" s="160"/>
    </row>
    <row r="11" spans="1:43" ht="14.1" customHeight="1" x14ac:dyDescent="0.25">
      <c r="A11" s="17"/>
      <c r="B11" s="17"/>
      <c r="C11" s="906"/>
      <c r="D11" s="17"/>
      <c r="E11" s="605">
        <v>0</v>
      </c>
      <c r="F11" s="461">
        <v>10</v>
      </c>
      <c r="G11" s="605"/>
      <c r="H11" s="100" t="s">
        <v>827</v>
      </c>
      <c r="I11" s="632"/>
      <c r="J11" s="125" t="s">
        <v>55</v>
      </c>
      <c r="K11" s="17"/>
      <c r="L11" s="125">
        <v>25</v>
      </c>
      <c r="M11" s="17">
        <f>IF(SUM(L10:L11)&lt;=1,L11,1-SUM(M10:M10))</f>
        <v>0</v>
      </c>
      <c r="N11" s="17">
        <f>IF(SUM(L10:L11)&lt;=10,L11-M11,9-SUM(N10:N10))</f>
        <v>5</v>
      </c>
      <c r="O11" s="17">
        <f>IF(SUM(L10:L11)&lt;=60,L11-M11-N11,50-SUM(O10:O10))</f>
        <v>20</v>
      </c>
      <c r="P11" s="17">
        <f t="shared" si="4"/>
        <v>0</v>
      </c>
      <c r="Q11" s="100" t="s">
        <v>1199</v>
      </c>
      <c r="R11" s="17">
        <v>1.8</v>
      </c>
      <c r="S11" s="906"/>
      <c r="T11" s="17"/>
      <c r="U11" s="17"/>
      <c r="V11" s="17"/>
      <c r="W11" s="17"/>
      <c r="X11" s="451"/>
      <c r="Y11" s="661"/>
      <c r="Z11" s="661"/>
      <c r="AA11" s="326"/>
      <c r="AB11" s="461">
        <f>VLOOKUP(J11,CauHinh_0!$C$7:$D$13,2,0)</f>
        <v>1853659.4</v>
      </c>
      <c r="AC11" s="461">
        <f>R11*X10*AB11</f>
        <v>90087.846839999984</v>
      </c>
      <c r="AD11" s="461">
        <f>R11*Y10*AB11</f>
        <v>63395.15148</v>
      </c>
      <c r="AE11" s="461">
        <f>R11*Z10*AB11</f>
        <v>46712.21688</v>
      </c>
      <c r="AF11" s="461">
        <f>R11*AA10*AB11</f>
        <v>44376.606035999997</v>
      </c>
      <c r="AG11" s="125"/>
      <c r="AH11" s="461"/>
      <c r="AI11" s="125"/>
      <c r="AJ11" s="461"/>
      <c r="AK11" s="55">
        <v>0</v>
      </c>
      <c r="AL11" s="461">
        <f t="shared" ref="AL11:AL13" si="12">(M11*AC11)+(N11*AD11)+(O11*AE11)+(P11*AF11)+AK11</f>
        <v>1251220.095</v>
      </c>
      <c r="AM11" s="906">
        <v>0</v>
      </c>
      <c r="AN11" s="461"/>
      <c r="AO11" s="461"/>
      <c r="AP11" s="160"/>
      <c r="AQ11" s="160"/>
    </row>
    <row r="12" spans="1:43" ht="14.1" customHeight="1" x14ac:dyDescent="0.25">
      <c r="A12" s="17">
        <v>6</v>
      </c>
      <c r="B12" s="17" t="s">
        <v>193</v>
      </c>
      <c r="C12" s="906" t="s">
        <v>759</v>
      </c>
      <c r="D12" s="17" t="s">
        <v>144</v>
      </c>
      <c r="E12" s="605">
        <v>0</v>
      </c>
      <c r="F12" s="461">
        <v>10</v>
      </c>
      <c r="G12" s="605" t="s">
        <v>657</v>
      </c>
      <c r="H12" s="100" t="s">
        <v>88</v>
      </c>
      <c r="I12" s="632"/>
      <c r="J12" s="125" t="s">
        <v>55</v>
      </c>
      <c r="K12" s="17">
        <f t="shared" ref="K12:K13" si="13">L12</f>
        <v>20</v>
      </c>
      <c r="L12" s="125">
        <v>20</v>
      </c>
      <c r="M12" s="17">
        <f t="shared" ref="M12:M14" si="14">MIN(L12,1)</f>
        <v>1</v>
      </c>
      <c r="N12" s="17">
        <f t="shared" ref="N12:N14" si="15">IF(L12&lt;10,L12-M12,9)</f>
        <v>9</v>
      </c>
      <c r="O12" s="17">
        <f t="shared" ref="O12:O14" si="16">IF(L12&lt;60,L12-M12-N12,50)</f>
        <v>10</v>
      </c>
      <c r="P12" s="17">
        <f t="shared" si="4"/>
        <v>0</v>
      </c>
      <c r="Q12" s="100" t="s">
        <v>1199</v>
      </c>
      <c r="R12" s="17">
        <v>1.8</v>
      </c>
      <c r="S12" s="906"/>
      <c r="T12" s="17"/>
      <c r="U12" s="17"/>
      <c r="V12" s="17"/>
      <c r="W12" s="17"/>
      <c r="X12" s="451">
        <v>3.4000000000000002E-2</v>
      </c>
      <c r="Y12" s="661">
        <v>2.5000000000000001E-2</v>
      </c>
      <c r="Z12" s="661">
        <v>1.7999999999999999E-2</v>
      </c>
      <c r="AA12" s="326">
        <v>1.7100000000000001E-2</v>
      </c>
      <c r="AB12" s="461">
        <f>VLOOKUP(J12,CauHinh_0!$C$7:$D$13,2,0)</f>
        <v>1853659.4</v>
      </c>
      <c r="AC12" s="461">
        <f t="shared" ref="AC12:AC14" si="17">R12*X12*AB12</f>
        <v>113443.95528000001</v>
      </c>
      <c r="AD12" s="461">
        <f t="shared" ref="AD12:AD14" si="18">R12*Y12*AB12</f>
        <v>83414.67300000001</v>
      </c>
      <c r="AE12" s="461">
        <f t="shared" ref="AE12:AE14" si="19">R12*Z12*AB12</f>
        <v>60058.564559999992</v>
      </c>
      <c r="AF12" s="461">
        <f t="shared" ref="AF12:AF14" si="20">R12*AA12*AB12</f>
        <v>57055.636332000002</v>
      </c>
      <c r="AG12" s="125">
        <v>0</v>
      </c>
      <c r="AH12" s="461">
        <f>ROUND(AG12*AJ3,0)</f>
        <v>0</v>
      </c>
      <c r="AI12" s="125">
        <v>0</v>
      </c>
      <c r="AJ12" s="461">
        <f>ROUND(AI12*AJ3,0)</f>
        <v>0</v>
      </c>
      <c r="AK12" s="55">
        <v>0</v>
      </c>
      <c r="AL12" s="461">
        <f t="shared" si="12"/>
        <v>1464761.6578799998</v>
      </c>
      <c r="AM12" s="906">
        <v>1</v>
      </c>
      <c r="AN12" s="461">
        <f t="shared" ref="AN12:AN14" si="21">AL12*AM12</f>
        <v>1464761.6578799998</v>
      </c>
      <c r="AO12" s="461">
        <f t="shared" ref="AO12:AO14" si="22">(AN12/F12)+AH12+AJ12</f>
        <v>146476.16578799998</v>
      </c>
      <c r="AP12" s="160"/>
      <c r="AQ12" s="160"/>
    </row>
    <row r="13" spans="1:43" ht="14.1" customHeight="1" x14ac:dyDescent="0.25">
      <c r="A13" s="17">
        <v>7</v>
      </c>
      <c r="B13" s="17" t="s">
        <v>1285</v>
      </c>
      <c r="C13" s="906" t="s">
        <v>730</v>
      </c>
      <c r="D13" s="17" t="s">
        <v>1258</v>
      </c>
      <c r="E13" s="605">
        <v>0</v>
      </c>
      <c r="F13" s="461">
        <v>1</v>
      </c>
      <c r="G13" s="605"/>
      <c r="H13" s="100"/>
      <c r="I13" s="632"/>
      <c r="J13" s="125" t="s">
        <v>55</v>
      </c>
      <c r="K13" s="17">
        <f t="shared" si="13"/>
        <v>0</v>
      </c>
      <c r="L13" s="125">
        <v>0</v>
      </c>
      <c r="M13" s="17">
        <f t="shared" si="14"/>
        <v>0</v>
      </c>
      <c r="N13" s="17">
        <f t="shared" si="15"/>
        <v>0</v>
      </c>
      <c r="O13" s="17">
        <f t="shared" si="16"/>
        <v>0</v>
      </c>
      <c r="P13" s="17">
        <f t="shared" si="4"/>
        <v>0</v>
      </c>
      <c r="Q13" s="100" t="s">
        <v>73</v>
      </c>
      <c r="R13" s="17">
        <v>0.56999999999999995</v>
      </c>
      <c r="S13" s="906"/>
      <c r="T13" s="17"/>
      <c r="U13" s="17"/>
      <c r="V13" s="17"/>
      <c r="W13" s="17"/>
      <c r="X13" s="451">
        <v>0</v>
      </c>
      <c r="Y13" s="661">
        <v>0</v>
      </c>
      <c r="Z13" s="661">
        <v>0</v>
      </c>
      <c r="AA13" s="326">
        <v>0</v>
      </c>
      <c r="AB13" s="461">
        <f>VLOOKUP(J13,CauHinh_0!$C$7:$D$13,2,0)</f>
        <v>1853659.4</v>
      </c>
      <c r="AC13" s="461">
        <f t="shared" si="17"/>
        <v>0</v>
      </c>
      <c r="AD13" s="461">
        <f t="shared" si="18"/>
        <v>0</v>
      </c>
      <c r="AE13" s="461">
        <f t="shared" si="19"/>
        <v>0</v>
      </c>
      <c r="AF13" s="461">
        <f t="shared" si="20"/>
        <v>0</v>
      </c>
      <c r="AG13" s="125">
        <v>0</v>
      </c>
      <c r="AH13" s="461">
        <f>ROUND(AG13*AJ3,0)</f>
        <v>0</v>
      </c>
      <c r="AI13" s="125">
        <v>0</v>
      </c>
      <c r="AJ13" s="461">
        <f>ROUND(AI13*AJ3,0)</f>
        <v>0</v>
      </c>
      <c r="AK13" s="55">
        <v>0</v>
      </c>
      <c r="AL13" s="461">
        <f t="shared" si="12"/>
        <v>0</v>
      </c>
      <c r="AM13" s="906">
        <v>1</v>
      </c>
      <c r="AN13" s="461">
        <f t="shared" si="21"/>
        <v>0</v>
      </c>
      <c r="AO13" s="461">
        <f t="shared" si="22"/>
        <v>0</v>
      </c>
      <c r="AP13" s="160"/>
      <c r="AQ13" s="160"/>
    </row>
    <row r="14" spans="1:43" ht="14.1" customHeight="1" x14ac:dyDescent="0.25">
      <c r="A14" s="17">
        <v>8</v>
      </c>
      <c r="B14" s="17" t="s">
        <v>491</v>
      </c>
      <c r="C14" s="906" t="s">
        <v>157</v>
      </c>
      <c r="D14" s="17" t="s">
        <v>144</v>
      </c>
      <c r="E14" s="605">
        <v>0</v>
      </c>
      <c r="F14" s="461">
        <v>10</v>
      </c>
      <c r="G14" s="605" t="s">
        <v>518</v>
      </c>
      <c r="H14" s="100" t="s">
        <v>66</v>
      </c>
      <c r="I14" s="632"/>
      <c r="J14" s="125" t="s">
        <v>385</v>
      </c>
      <c r="K14" s="17">
        <f>L15+L14</f>
        <v>30</v>
      </c>
      <c r="L14" s="125">
        <v>5</v>
      </c>
      <c r="M14" s="17">
        <f t="shared" si="14"/>
        <v>1</v>
      </c>
      <c r="N14" s="17">
        <f t="shared" si="15"/>
        <v>4</v>
      </c>
      <c r="O14" s="17">
        <f t="shared" si="16"/>
        <v>0</v>
      </c>
      <c r="P14" s="17">
        <f t="shared" si="4"/>
        <v>0</v>
      </c>
      <c r="Q14" s="100" t="s">
        <v>47</v>
      </c>
      <c r="R14" s="17">
        <v>0.68</v>
      </c>
      <c r="S14" s="906"/>
      <c r="T14" s="17"/>
      <c r="U14" s="17"/>
      <c r="V14" s="17"/>
      <c r="W14" s="17"/>
      <c r="X14" s="451">
        <v>2.4E-2</v>
      </c>
      <c r="Y14" s="661">
        <v>1.7999999999999999E-2</v>
      </c>
      <c r="Z14" s="661">
        <v>1.0999999999999999E-2</v>
      </c>
      <c r="AA14" s="326">
        <v>1.0449999999999999E-2</v>
      </c>
      <c r="AB14" s="461">
        <f>VLOOKUP(J14,CauHinh_0!$C$7:$D$13,2,0)</f>
        <v>1350950.9500000002</v>
      </c>
      <c r="AC14" s="461">
        <f t="shared" si="17"/>
        <v>22047.519504000004</v>
      </c>
      <c r="AD14" s="461">
        <f t="shared" si="18"/>
        <v>16535.639628000001</v>
      </c>
      <c r="AE14" s="461">
        <f t="shared" si="19"/>
        <v>10105.113106000001</v>
      </c>
      <c r="AF14" s="461">
        <f t="shared" si="20"/>
        <v>9599.8574507000012</v>
      </c>
      <c r="AG14" s="125">
        <v>0</v>
      </c>
      <c r="AH14" s="461">
        <f>ROUND(AG14*AJ3,0)</f>
        <v>0</v>
      </c>
      <c r="AI14" s="125">
        <v>0</v>
      </c>
      <c r="AJ14" s="461">
        <f>ROUND(AI14*AJ3,0)</f>
        <v>0</v>
      </c>
      <c r="AK14" s="55">
        <v>0</v>
      </c>
      <c r="AL14" s="461">
        <f>(M14*AC14)+(N14*AD14)+(O14*AE14)+(P14*AF14)+AK14+AL15</f>
        <v>842020.70811600005</v>
      </c>
      <c r="AM14" s="906">
        <v>1</v>
      </c>
      <c r="AN14" s="461">
        <f t="shared" si="21"/>
        <v>842020.70811600005</v>
      </c>
      <c r="AO14" s="461">
        <f t="shared" si="22"/>
        <v>84202.070811600002</v>
      </c>
      <c r="AP14" s="160"/>
      <c r="AQ14" s="160"/>
    </row>
    <row r="15" spans="1:43" ht="14.1" customHeight="1" x14ac:dyDescent="0.25">
      <c r="A15" s="17"/>
      <c r="B15" s="17"/>
      <c r="C15" s="906"/>
      <c r="D15" s="17"/>
      <c r="E15" s="605">
        <v>0</v>
      </c>
      <c r="F15" s="461">
        <v>10</v>
      </c>
      <c r="G15" s="605"/>
      <c r="H15" s="100" t="s">
        <v>66</v>
      </c>
      <c r="I15" s="632"/>
      <c r="J15" s="125" t="s">
        <v>385</v>
      </c>
      <c r="K15" s="17"/>
      <c r="L15" s="125">
        <v>25</v>
      </c>
      <c r="M15" s="17">
        <f>IF(SUM(L14:L15)&lt;=1,L15,1-SUM(M14:M14))</f>
        <v>0</v>
      </c>
      <c r="N15" s="17">
        <f>IF(SUM(L14:L15)&lt;=10,L15-M15,9-SUM(N14:N14))</f>
        <v>5</v>
      </c>
      <c r="O15" s="17">
        <f>IF(SUM(L14:L15)&lt;=60,L15-M15-N15,50-SUM(O14:O14))</f>
        <v>20</v>
      </c>
      <c r="P15" s="17">
        <f t="shared" si="4"/>
        <v>0</v>
      </c>
      <c r="Q15" s="100" t="s">
        <v>1199</v>
      </c>
      <c r="R15" s="17">
        <v>1.8</v>
      </c>
      <c r="S15" s="906"/>
      <c r="T15" s="17"/>
      <c r="U15" s="17"/>
      <c r="V15" s="17"/>
      <c r="W15" s="17"/>
      <c r="X15" s="451"/>
      <c r="Y15" s="661"/>
      <c r="Z15" s="661"/>
      <c r="AA15" s="326"/>
      <c r="AB15" s="461">
        <f>VLOOKUP(J15,CauHinh_0!$C$7:$D$13,2,0)</f>
        <v>1350950.9500000002</v>
      </c>
      <c r="AC15" s="461">
        <f>R15*X14*AB15</f>
        <v>58361.081040000012</v>
      </c>
      <c r="AD15" s="461">
        <f>R15*Y14*AB15</f>
        <v>43770.810780000007</v>
      </c>
      <c r="AE15" s="461">
        <f>R15*Z14*AB15</f>
        <v>26748.828810000003</v>
      </c>
      <c r="AF15" s="461">
        <f>R15*AA14*AB15</f>
        <v>25411.387369500004</v>
      </c>
      <c r="AG15" s="125"/>
      <c r="AH15" s="461"/>
      <c r="AI15" s="125"/>
      <c r="AJ15" s="461"/>
      <c r="AK15" s="55">
        <v>0</v>
      </c>
      <c r="AL15" s="461">
        <f t="shared" ref="AL15:AL16" si="23">(M15*AC15)+(N15*AD15)+(O15*AE15)+(P15*AF15)+AK15</f>
        <v>753830.63010000007</v>
      </c>
      <c r="AM15" s="906">
        <v>0</v>
      </c>
      <c r="AN15" s="461"/>
      <c r="AO15" s="461"/>
      <c r="AP15" s="160"/>
      <c r="AQ15" s="160"/>
    </row>
    <row r="16" spans="1:43" ht="14.1" customHeight="1" x14ac:dyDescent="0.25">
      <c r="A16" s="17">
        <v>9</v>
      </c>
      <c r="B16" s="17" t="s">
        <v>496</v>
      </c>
      <c r="C16" s="906" t="s">
        <v>309</v>
      </c>
      <c r="D16" s="17" t="s">
        <v>418</v>
      </c>
      <c r="E16" s="605">
        <v>0</v>
      </c>
      <c r="F16" s="461">
        <v>1</v>
      </c>
      <c r="G16" s="605"/>
      <c r="H16" s="100"/>
      <c r="I16" s="632"/>
      <c r="J16" s="125" t="s">
        <v>55</v>
      </c>
      <c r="K16" s="17">
        <f>L16</f>
        <v>0</v>
      </c>
      <c r="L16" s="125">
        <v>0</v>
      </c>
      <c r="M16" s="17">
        <f t="shared" ref="M16:M17" si="24">MIN(L16,1)</f>
        <v>0</v>
      </c>
      <c r="N16" s="17">
        <f t="shared" ref="N16:N17" si="25">IF(L16&lt;10,L16-M16,9)</f>
        <v>0</v>
      </c>
      <c r="O16" s="17">
        <f t="shared" ref="O16:O17" si="26">IF(L16&lt;60,L16-M16-N16,50)</f>
        <v>0</v>
      </c>
      <c r="P16" s="17">
        <f t="shared" si="4"/>
        <v>0</v>
      </c>
      <c r="Q16" s="100" t="s">
        <v>73</v>
      </c>
      <c r="R16" s="17">
        <v>0.56999999999999995</v>
      </c>
      <c r="S16" s="906"/>
      <c r="T16" s="17"/>
      <c r="U16" s="17"/>
      <c r="V16" s="17"/>
      <c r="W16" s="17"/>
      <c r="X16" s="451">
        <v>0</v>
      </c>
      <c r="Y16" s="661">
        <v>0</v>
      </c>
      <c r="Z16" s="661">
        <v>0</v>
      </c>
      <c r="AA16" s="326">
        <v>0</v>
      </c>
      <c r="AB16" s="461">
        <f>VLOOKUP(J16,CauHinh_0!$C$7:$D$13,2,0)</f>
        <v>1853659.4</v>
      </c>
      <c r="AC16" s="461">
        <f t="shared" ref="AC16:AC17" si="27">R16*X16*AB16</f>
        <v>0</v>
      </c>
      <c r="AD16" s="461">
        <f t="shared" ref="AD16:AD17" si="28">R16*Y16*AB16</f>
        <v>0</v>
      </c>
      <c r="AE16" s="461">
        <f t="shared" ref="AE16:AE17" si="29">R16*Z16*AB16</f>
        <v>0</v>
      </c>
      <c r="AF16" s="461">
        <f t="shared" ref="AF16:AF17" si="30">R16*AA16*AB16</f>
        <v>0</v>
      </c>
      <c r="AG16" s="125">
        <v>0</v>
      </c>
      <c r="AH16" s="461">
        <f>ROUND(AG16*AJ3,0)</f>
        <v>0</v>
      </c>
      <c r="AI16" s="125">
        <v>0</v>
      </c>
      <c r="AJ16" s="461">
        <f>ROUND(AI16*AJ3,0)</f>
        <v>0</v>
      </c>
      <c r="AK16" s="55">
        <v>0</v>
      </c>
      <c r="AL16" s="461">
        <f t="shared" si="23"/>
        <v>0</v>
      </c>
      <c r="AM16" s="906">
        <v>1</v>
      </c>
      <c r="AN16" s="461">
        <f t="shared" ref="AN16:AN17" si="31">AL16*AM16</f>
        <v>0</v>
      </c>
      <c r="AO16" s="461">
        <f t="shared" ref="AO16:AO17" si="32">(AN16/F16)+AH16+AJ16</f>
        <v>0</v>
      </c>
      <c r="AP16" s="160"/>
      <c r="AQ16" s="160"/>
    </row>
    <row r="17" spans="1:43" ht="14.1" customHeight="1" x14ac:dyDescent="0.25">
      <c r="A17" s="17">
        <v>10</v>
      </c>
      <c r="B17" s="17" t="s">
        <v>138</v>
      </c>
      <c r="C17" s="906" t="s">
        <v>11</v>
      </c>
      <c r="D17" s="17" t="s">
        <v>460</v>
      </c>
      <c r="E17" s="605">
        <v>1E-3</v>
      </c>
      <c r="F17" s="461">
        <v>10000</v>
      </c>
      <c r="G17" s="605" t="s">
        <v>518</v>
      </c>
      <c r="H17" s="100" t="s">
        <v>749</v>
      </c>
      <c r="I17" s="632"/>
      <c r="J17" s="125" t="s">
        <v>385</v>
      </c>
      <c r="K17" s="17">
        <f>L18+L17</f>
        <v>30</v>
      </c>
      <c r="L17" s="125">
        <v>5</v>
      </c>
      <c r="M17" s="17">
        <f t="shared" si="24"/>
        <v>1</v>
      </c>
      <c r="N17" s="17">
        <f t="shared" si="25"/>
        <v>4</v>
      </c>
      <c r="O17" s="17">
        <f t="shared" si="26"/>
        <v>0</v>
      </c>
      <c r="P17" s="17">
        <f t="shared" si="4"/>
        <v>0</v>
      </c>
      <c r="Q17" s="100" t="s">
        <v>47</v>
      </c>
      <c r="R17" s="17">
        <v>0.68</v>
      </c>
      <c r="S17" s="906"/>
      <c r="T17" s="17"/>
      <c r="U17" s="17"/>
      <c r="V17" s="17"/>
      <c r="W17" s="17"/>
      <c r="X17" s="451">
        <v>3.1E-2</v>
      </c>
      <c r="Y17" s="661">
        <v>2.3E-2</v>
      </c>
      <c r="Z17" s="661">
        <v>1.4999999999999999E-2</v>
      </c>
      <c r="AA17" s="326">
        <v>1.4250000000000001E-2</v>
      </c>
      <c r="AB17" s="461">
        <f>VLOOKUP(J17,CauHinh_0!$C$7:$D$13,2,0)</f>
        <v>1350950.9500000002</v>
      </c>
      <c r="AC17" s="461">
        <f t="shared" si="27"/>
        <v>28478.046026000007</v>
      </c>
      <c r="AD17" s="461">
        <f t="shared" si="28"/>
        <v>21128.872858000006</v>
      </c>
      <c r="AE17" s="461">
        <f t="shared" si="29"/>
        <v>13779.699690000003</v>
      </c>
      <c r="AF17" s="461">
        <f t="shared" si="30"/>
        <v>13090.714705500002</v>
      </c>
      <c r="AG17" s="125">
        <v>0</v>
      </c>
      <c r="AH17" s="461">
        <f>ROUND(AG17*AJ3,0)</f>
        <v>0</v>
      </c>
      <c r="AI17" s="125">
        <v>0</v>
      </c>
      <c r="AJ17" s="461">
        <f>ROUND(AI17*AJ3,0)</f>
        <v>0</v>
      </c>
      <c r="AK17" s="55">
        <v>0</v>
      </c>
      <c r="AL17" s="461">
        <f>(M17*AC17)+(N17*AD17)+(O17*AE17)+(P17*AF17)+AK17+AL18</f>
        <v>1122153.897108</v>
      </c>
      <c r="AM17" s="906">
        <v>1</v>
      </c>
      <c r="AN17" s="461">
        <f t="shared" si="31"/>
        <v>1122153.897108</v>
      </c>
      <c r="AO17" s="461">
        <f t="shared" si="32"/>
        <v>112.2153897108</v>
      </c>
      <c r="AP17" s="160"/>
      <c r="AQ17" s="160"/>
    </row>
    <row r="18" spans="1:43" ht="14.1" customHeight="1" x14ac:dyDescent="0.25">
      <c r="A18" s="17"/>
      <c r="B18" s="17"/>
      <c r="C18" s="906"/>
      <c r="D18" s="17"/>
      <c r="E18" s="605">
        <v>1E-3</v>
      </c>
      <c r="F18" s="461">
        <v>10000</v>
      </c>
      <c r="G18" s="605"/>
      <c r="H18" s="100" t="s">
        <v>749</v>
      </c>
      <c r="I18" s="632"/>
      <c r="J18" s="125" t="s">
        <v>385</v>
      </c>
      <c r="K18" s="17"/>
      <c r="L18" s="125">
        <v>25</v>
      </c>
      <c r="M18" s="17">
        <f>IF(SUM(L17:L18)&lt;=1,L18,1-SUM(M17:M17))</f>
        <v>0</v>
      </c>
      <c r="N18" s="17">
        <f>IF(SUM(L17:L18)&lt;=10,L18-M18,9-SUM(N17:N17))</f>
        <v>5</v>
      </c>
      <c r="O18" s="17">
        <f>IF(SUM(L17:L18)&lt;=60,L18-M18-N18,50-SUM(O17:O17))</f>
        <v>20</v>
      </c>
      <c r="P18" s="17">
        <f t="shared" si="4"/>
        <v>0</v>
      </c>
      <c r="Q18" s="100" t="s">
        <v>1199</v>
      </c>
      <c r="R18" s="17">
        <v>1.8</v>
      </c>
      <c r="S18" s="906"/>
      <c r="T18" s="17"/>
      <c r="U18" s="17"/>
      <c r="V18" s="17"/>
      <c r="W18" s="17"/>
      <c r="X18" s="451"/>
      <c r="Y18" s="661"/>
      <c r="Z18" s="661"/>
      <c r="AA18" s="326"/>
      <c r="AB18" s="461">
        <f>VLOOKUP(J18,CauHinh_0!$C$7:$D$13,2,0)</f>
        <v>1350950.9500000002</v>
      </c>
      <c r="AC18" s="461">
        <f>R18*X17*AB18</f>
        <v>75383.063010000013</v>
      </c>
      <c r="AD18" s="461">
        <f>R18*Y17*AB18</f>
        <v>55929.369330000009</v>
      </c>
      <c r="AE18" s="461">
        <f>R18*Z17*AB18</f>
        <v>36475.675650000005</v>
      </c>
      <c r="AF18" s="461">
        <f>R18*AA17*AB18</f>
        <v>34651.89186750001</v>
      </c>
      <c r="AG18" s="125"/>
      <c r="AH18" s="461"/>
      <c r="AI18" s="125"/>
      <c r="AJ18" s="461"/>
      <c r="AK18" s="55">
        <v>0</v>
      </c>
      <c r="AL18" s="461">
        <f t="shared" ref="AL18:AL21" si="33">(M18*AC18)+(N18*AD18)+(O18*AE18)+(P18*AF18)+AK18</f>
        <v>1009160.35965</v>
      </c>
      <c r="AM18" s="906">
        <v>0</v>
      </c>
      <c r="AN18" s="461"/>
      <c r="AO18" s="461"/>
      <c r="AP18" s="160"/>
      <c r="AQ18" s="160"/>
    </row>
    <row r="19" spans="1:43" ht="14.1" customHeight="1" x14ac:dyDescent="0.25">
      <c r="A19" s="17">
        <v>11</v>
      </c>
      <c r="B19" s="17" t="s">
        <v>135</v>
      </c>
      <c r="C19" s="906" t="s">
        <v>938</v>
      </c>
      <c r="D19" s="17" t="s">
        <v>1431</v>
      </c>
      <c r="E19" s="605">
        <v>0</v>
      </c>
      <c r="F19" s="461">
        <v>1</v>
      </c>
      <c r="G19" s="605"/>
      <c r="H19" s="100"/>
      <c r="I19" s="632"/>
      <c r="J19" s="125" t="s">
        <v>55</v>
      </c>
      <c r="K19" s="17">
        <f t="shared" ref="K19:K21" si="34">L19</f>
        <v>0</v>
      </c>
      <c r="L19" s="125">
        <v>0</v>
      </c>
      <c r="M19" s="17">
        <f t="shared" ref="M19:M22" si="35">MIN(L19,1)</f>
        <v>0</v>
      </c>
      <c r="N19" s="17">
        <f t="shared" ref="N19:N22" si="36">IF(L19&lt;10,L19-M19,9)</f>
        <v>0</v>
      </c>
      <c r="O19" s="17">
        <f t="shared" ref="O19:O22" si="37">IF(L19&lt;60,L19-M19-N19,50)</f>
        <v>0</v>
      </c>
      <c r="P19" s="17">
        <f t="shared" si="4"/>
        <v>0</v>
      </c>
      <c r="Q19" s="100" t="s">
        <v>73</v>
      </c>
      <c r="R19" s="17">
        <v>0.56999999999999995</v>
      </c>
      <c r="S19" s="906"/>
      <c r="T19" s="17"/>
      <c r="U19" s="17"/>
      <c r="V19" s="17"/>
      <c r="W19" s="17"/>
      <c r="X19" s="451">
        <v>0</v>
      </c>
      <c r="Y19" s="661">
        <v>0</v>
      </c>
      <c r="Z19" s="661">
        <v>0</v>
      </c>
      <c r="AA19" s="326">
        <v>0</v>
      </c>
      <c r="AB19" s="461">
        <f>VLOOKUP(J19,CauHinh_0!$C$7:$D$13,2,0)</f>
        <v>1853659.4</v>
      </c>
      <c r="AC19" s="461">
        <f t="shared" ref="AC19:AC22" si="38">R19*X19*AB19</f>
        <v>0</v>
      </c>
      <c r="AD19" s="461">
        <f t="shared" ref="AD19:AD22" si="39">R19*Y19*AB19</f>
        <v>0</v>
      </c>
      <c r="AE19" s="461">
        <f t="shared" ref="AE19:AE22" si="40">R19*Z19*AB19</f>
        <v>0</v>
      </c>
      <c r="AF19" s="461">
        <f t="shared" ref="AF19:AF22" si="41">R19*AA19*AB19</f>
        <v>0</v>
      </c>
      <c r="AG19" s="125">
        <v>0</v>
      </c>
      <c r="AH19" s="461">
        <f>ROUND(AG19*AJ3,0)</f>
        <v>0</v>
      </c>
      <c r="AI19" s="125">
        <v>0</v>
      </c>
      <c r="AJ19" s="461">
        <f>ROUND(AI19*AJ3,0)</f>
        <v>0</v>
      </c>
      <c r="AK19" s="55">
        <v>0</v>
      </c>
      <c r="AL19" s="461">
        <f t="shared" si="33"/>
        <v>0</v>
      </c>
      <c r="AM19" s="906">
        <v>1</v>
      </c>
      <c r="AN19" s="461">
        <f t="shared" ref="AN19:AN22" si="42">AL19*AM19</f>
        <v>0</v>
      </c>
      <c r="AO19" s="461">
        <f t="shared" ref="AO19:AO22" si="43">(AN19/F19)+AH19+AJ19</f>
        <v>0</v>
      </c>
      <c r="AP19" s="160"/>
      <c r="AQ19" s="160"/>
    </row>
    <row r="20" spans="1:43" ht="14.1" customHeight="1" x14ac:dyDescent="0.25">
      <c r="A20" s="17">
        <v>12</v>
      </c>
      <c r="B20" s="17" t="s">
        <v>444</v>
      </c>
      <c r="C20" s="906" t="s">
        <v>938</v>
      </c>
      <c r="D20" s="17" t="s">
        <v>144</v>
      </c>
      <c r="E20" s="605">
        <v>0</v>
      </c>
      <c r="F20" s="461">
        <v>10</v>
      </c>
      <c r="G20" s="605"/>
      <c r="H20" s="100"/>
      <c r="I20" s="632"/>
      <c r="J20" s="125" t="s">
        <v>55</v>
      </c>
      <c r="K20" s="17">
        <f t="shared" si="34"/>
        <v>0</v>
      </c>
      <c r="L20" s="125">
        <v>0</v>
      </c>
      <c r="M20" s="17">
        <f t="shared" si="35"/>
        <v>0</v>
      </c>
      <c r="N20" s="17">
        <f t="shared" si="36"/>
        <v>0</v>
      </c>
      <c r="O20" s="17">
        <f t="shared" si="37"/>
        <v>0</v>
      </c>
      <c r="P20" s="17">
        <f t="shared" si="4"/>
        <v>0</v>
      </c>
      <c r="Q20" s="100" t="s">
        <v>73</v>
      </c>
      <c r="R20" s="17">
        <v>0.56999999999999995</v>
      </c>
      <c r="S20" s="906"/>
      <c r="T20" s="17"/>
      <c r="U20" s="17"/>
      <c r="V20" s="17"/>
      <c r="W20" s="17"/>
      <c r="X20" s="451">
        <v>0</v>
      </c>
      <c r="Y20" s="661">
        <v>0</v>
      </c>
      <c r="Z20" s="661">
        <v>0</v>
      </c>
      <c r="AA20" s="326">
        <v>0</v>
      </c>
      <c r="AB20" s="461">
        <f>VLOOKUP(J20,CauHinh_0!$C$7:$D$13,2,0)</f>
        <v>1853659.4</v>
      </c>
      <c r="AC20" s="461">
        <f t="shared" si="38"/>
        <v>0</v>
      </c>
      <c r="AD20" s="461">
        <f t="shared" si="39"/>
        <v>0</v>
      </c>
      <c r="AE20" s="461">
        <f t="shared" si="40"/>
        <v>0</v>
      </c>
      <c r="AF20" s="461">
        <f t="shared" si="41"/>
        <v>0</v>
      </c>
      <c r="AG20" s="125">
        <v>0</v>
      </c>
      <c r="AH20" s="461">
        <f>ROUND(AG20*AJ3,0)</f>
        <v>0</v>
      </c>
      <c r="AI20" s="125">
        <v>0</v>
      </c>
      <c r="AJ20" s="461">
        <f>ROUND(AI20*AJ3,0)</f>
        <v>0</v>
      </c>
      <c r="AK20" s="55">
        <v>0</v>
      </c>
      <c r="AL20" s="461">
        <f t="shared" si="33"/>
        <v>0</v>
      </c>
      <c r="AM20" s="906">
        <v>1</v>
      </c>
      <c r="AN20" s="461">
        <f t="shared" si="42"/>
        <v>0</v>
      </c>
      <c r="AO20" s="461">
        <f t="shared" si="43"/>
        <v>0</v>
      </c>
      <c r="AP20" s="160"/>
      <c r="AQ20" s="160"/>
    </row>
    <row r="21" spans="1:43" ht="14.1" customHeight="1" x14ac:dyDescent="0.25">
      <c r="A21" s="17">
        <v>13</v>
      </c>
      <c r="B21" s="17" t="s">
        <v>218</v>
      </c>
      <c r="C21" s="906" t="s">
        <v>1165</v>
      </c>
      <c r="D21" s="17" t="s">
        <v>460</v>
      </c>
      <c r="E21" s="605">
        <v>1E-3</v>
      </c>
      <c r="F21" s="461">
        <v>10000</v>
      </c>
      <c r="G21" s="605"/>
      <c r="H21" s="100"/>
      <c r="I21" s="632"/>
      <c r="J21" s="125" t="s">
        <v>55</v>
      </c>
      <c r="K21" s="17">
        <f t="shared" si="34"/>
        <v>0</v>
      </c>
      <c r="L21" s="125">
        <v>0</v>
      </c>
      <c r="M21" s="17">
        <f t="shared" si="35"/>
        <v>0</v>
      </c>
      <c r="N21" s="17">
        <f t="shared" si="36"/>
        <v>0</v>
      </c>
      <c r="O21" s="17">
        <f t="shared" si="37"/>
        <v>0</v>
      </c>
      <c r="P21" s="17">
        <f t="shared" si="4"/>
        <v>0</v>
      </c>
      <c r="Q21" s="100" t="s">
        <v>73</v>
      </c>
      <c r="R21" s="17">
        <v>0.56999999999999995</v>
      </c>
      <c r="S21" s="906"/>
      <c r="T21" s="17"/>
      <c r="U21" s="17"/>
      <c r="V21" s="17"/>
      <c r="W21" s="17"/>
      <c r="X21" s="451">
        <v>0</v>
      </c>
      <c r="Y21" s="661">
        <v>0</v>
      </c>
      <c r="Z21" s="661">
        <v>0</v>
      </c>
      <c r="AA21" s="326">
        <v>0</v>
      </c>
      <c r="AB21" s="461">
        <f>VLOOKUP(J21,CauHinh_0!$C$7:$D$13,2,0)</f>
        <v>1853659.4</v>
      </c>
      <c r="AC21" s="461">
        <f t="shared" si="38"/>
        <v>0</v>
      </c>
      <c r="AD21" s="461">
        <f t="shared" si="39"/>
        <v>0</v>
      </c>
      <c r="AE21" s="461">
        <f t="shared" si="40"/>
        <v>0</v>
      </c>
      <c r="AF21" s="461">
        <f t="shared" si="41"/>
        <v>0</v>
      </c>
      <c r="AG21" s="125">
        <v>0</v>
      </c>
      <c r="AH21" s="461">
        <f>ROUND(AG21*AJ3,0)</f>
        <v>0</v>
      </c>
      <c r="AI21" s="125">
        <v>0</v>
      </c>
      <c r="AJ21" s="461">
        <f>ROUND(AI21*AJ3,0)</f>
        <v>0</v>
      </c>
      <c r="AK21" s="55">
        <v>0</v>
      </c>
      <c r="AL21" s="461">
        <f t="shared" si="33"/>
        <v>0</v>
      </c>
      <c r="AM21" s="906">
        <v>1</v>
      </c>
      <c r="AN21" s="461">
        <f t="shared" si="42"/>
        <v>0</v>
      </c>
      <c r="AO21" s="461">
        <f t="shared" si="43"/>
        <v>0</v>
      </c>
      <c r="AP21" s="160"/>
      <c r="AQ21" s="160"/>
    </row>
    <row r="22" spans="1:43" ht="14.1" customHeight="1" x14ac:dyDescent="0.25">
      <c r="A22" s="17">
        <v>14</v>
      </c>
      <c r="B22" s="17" t="s">
        <v>379</v>
      </c>
      <c r="C22" s="906" t="s">
        <v>209</v>
      </c>
      <c r="D22" s="17" t="s">
        <v>460</v>
      </c>
      <c r="E22" s="605">
        <v>1E-3</v>
      </c>
      <c r="F22" s="461">
        <v>10000</v>
      </c>
      <c r="G22" s="605" t="s">
        <v>518</v>
      </c>
      <c r="H22" s="100" t="s">
        <v>625</v>
      </c>
      <c r="I22" s="632"/>
      <c r="J22" s="125" t="s">
        <v>385</v>
      </c>
      <c r="K22" s="17">
        <f>L23+L22</f>
        <v>30</v>
      </c>
      <c r="L22" s="125">
        <v>5</v>
      </c>
      <c r="M22" s="17">
        <f t="shared" si="35"/>
        <v>1</v>
      </c>
      <c r="N22" s="17">
        <f t="shared" si="36"/>
        <v>4</v>
      </c>
      <c r="O22" s="17">
        <f t="shared" si="37"/>
        <v>0</v>
      </c>
      <c r="P22" s="17">
        <f t="shared" si="4"/>
        <v>0</v>
      </c>
      <c r="Q22" s="100" t="s">
        <v>47</v>
      </c>
      <c r="R22" s="17">
        <v>0.68</v>
      </c>
      <c r="S22" s="906"/>
      <c r="T22" s="17"/>
      <c r="U22" s="17"/>
      <c r="V22" s="17"/>
      <c r="W22" s="17"/>
      <c r="X22" s="451">
        <v>2.1999999999999999E-2</v>
      </c>
      <c r="Y22" s="661">
        <v>1.6E-2</v>
      </c>
      <c r="Z22" s="661">
        <v>1.0999999999999999E-2</v>
      </c>
      <c r="AA22" s="326">
        <v>1.0449999999999999E-2</v>
      </c>
      <c r="AB22" s="461">
        <f>VLOOKUP(J22,CauHinh_0!$C$7:$D$13,2,0)</f>
        <v>1350950.9500000002</v>
      </c>
      <c r="AC22" s="461">
        <f t="shared" si="38"/>
        <v>20210.226212000001</v>
      </c>
      <c r="AD22" s="461">
        <f t="shared" si="39"/>
        <v>14698.346336000002</v>
      </c>
      <c r="AE22" s="461">
        <f t="shared" si="40"/>
        <v>10105.113106000001</v>
      </c>
      <c r="AF22" s="461">
        <f t="shared" si="41"/>
        <v>9599.8574507000012</v>
      </c>
      <c r="AG22" s="125">
        <v>0</v>
      </c>
      <c r="AH22" s="461">
        <f>ROUND(AG22*AJ3,0)</f>
        <v>0</v>
      </c>
      <c r="AI22" s="125">
        <v>0</v>
      </c>
      <c r="AJ22" s="461">
        <f>ROUND(AI22*AJ3,0)</f>
        <v>0</v>
      </c>
      <c r="AK22" s="55">
        <v>0</v>
      </c>
      <c r="AL22" s="461">
        <f>(M22*AC22)+(N22*AD22)+(O22*AE22)+(P22*AF22)+AK22+AL23</f>
        <v>808517.12455600011</v>
      </c>
      <c r="AM22" s="906">
        <v>1</v>
      </c>
      <c r="AN22" s="461">
        <f t="shared" si="42"/>
        <v>808517.12455600011</v>
      </c>
      <c r="AO22" s="461">
        <f t="shared" si="43"/>
        <v>80.851712455600008</v>
      </c>
      <c r="AP22" s="160"/>
      <c r="AQ22" s="160"/>
    </row>
    <row r="23" spans="1:43" ht="14.1" customHeight="1" x14ac:dyDescent="0.25">
      <c r="A23" s="17"/>
      <c r="B23" s="17"/>
      <c r="C23" s="906"/>
      <c r="D23" s="17"/>
      <c r="E23" s="605">
        <v>1E-3</v>
      </c>
      <c r="F23" s="461">
        <v>10000</v>
      </c>
      <c r="G23" s="605"/>
      <c r="H23" s="100" t="s">
        <v>625</v>
      </c>
      <c r="I23" s="632"/>
      <c r="J23" s="125" t="s">
        <v>385</v>
      </c>
      <c r="K23" s="17"/>
      <c r="L23" s="125">
        <v>25</v>
      </c>
      <c r="M23" s="17">
        <f>IF(SUM(L22:L23)&lt;=1,L23,1-SUM(M22:M22))</f>
        <v>0</v>
      </c>
      <c r="N23" s="17">
        <f>IF(SUM(L22:L23)&lt;=10,L23-M23,9-SUM(N22:N22))</f>
        <v>5</v>
      </c>
      <c r="O23" s="17">
        <f>IF(SUM(L22:L23)&lt;=60,L23-M23-N23,50-SUM(O22:O22))</f>
        <v>20</v>
      </c>
      <c r="P23" s="17">
        <f t="shared" si="4"/>
        <v>0</v>
      </c>
      <c r="Q23" s="100" t="s">
        <v>1199</v>
      </c>
      <c r="R23" s="17">
        <v>1.8</v>
      </c>
      <c r="S23" s="906"/>
      <c r="T23" s="17"/>
      <c r="U23" s="17"/>
      <c r="V23" s="17"/>
      <c r="W23" s="17"/>
      <c r="X23" s="451"/>
      <c r="Y23" s="661"/>
      <c r="Z23" s="661"/>
      <c r="AA23" s="326"/>
      <c r="AB23" s="461">
        <f>VLOOKUP(J23,CauHinh_0!$C$7:$D$13,2,0)</f>
        <v>1350950.9500000002</v>
      </c>
      <c r="AC23" s="461">
        <f>R23*X22*AB23</f>
        <v>53497.657620000005</v>
      </c>
      <c r="AD23" s="461">
        <f>R23*Y22*AB23</f>
        <v>38907.387360000008</v>
      </c>
      <c r="AE23" s="461">
        <f>R23*Z22*AB23</f>
        <v>26748.828810000003</v>
      </c>
      <c r="AF23" s="461">
        <f>R23*AA22*AB23</f>
        <v>25411.387369500004</v>
      </c>
      <c r="AG23" s="125"/>
      <c r="AH23" s="461"/>
      <c r="AI23" s="125"/>
      <c r="AJ23" s="461"/>
      <c r="AK23" s="55">
        <v>0</v>
      </c>
      <c r="AL23" s="461">
        <f>(M23*AC23)+(N23*AD23)+(O23*AE23)+(P23*AF23)+AK23</f>
        <v>729513.51300000004</v>
      </c>
      <c r="AM23" s="906">
        <v>0</v>
      </c>
      <c r="AN23" s="461"/>
      <c r="AO23" s="461"/>
      <c r="AP23" s="160"/>
      <c r="AQ23" s="160"/>
    </row>
    <row r="24" spans="1:43" ht="14.1" customHeight="1" x14ac:dyDescent="0.25">
      <c r="A24" s="17">
        <v>15</v>
      </c>
      <c r="B24" s="17" t="s">
        <v>762</v>
      </c>
      <c r="C24" s="906" t="s">
        <v>1191</v>
      </c>
      <c r="D24" s="17" t="s">
        <v>460</v>
      </c>
      <c r="E24" s="605">
        <v>1E-3</v>
      </c>
      <c r="F24" s="461">
        <v>10000</v>
      </c>
      <c r="G24" s="605"/>
      <c r="H24" s="100" t="s">
        <v>363</v>
      </c>
      <c r="I24" s="632"/>
      <c r="J24" s="125" t="s">
        <v>385</v>
      </c>
      <c r="K24" s="17">
        <f>L25+L24</f>
        <v>30</v>
      </c>
      <c r="L24" s="125">
        <v>5</v>
      </c>
      <c r="M24" s="17">
        <f>MIN(L24,1)</f>
        <v>1</v>
      </c>
      <c r="N24" s="17">
        <f>IF(L24&lt;10,L24-M24,9)</f>
        <v>4</v>
      </c>
      <c r="O24" s="17">
        <f>IF(L24&lt;60,L24-M24-N24,50)</f>
        <v>0</v>
      </c>
      <c r="P24" s="17">
        <f t="shared" si="4"/>
        <v>0</v>
      </c>
      <c r="Q24" s="100" t="s">
        <v>47</v>
      </c>
      <c r="R24" s="17">
        <v>0.68</v>
      </c>
      <c r="S24" s="906"/>
      <c r="T24" s="17"/>
      <c r="U24" s="17"/>
      <c r="V24" s="17"/>
      <c r="W24" s="17"/>
      <c r="X24" s="451">
        <v>4.2999999999999997E-2</v>
      </c>
      <c r="Y24" s="661">
        <v>3.1E-2</v>
      </c>
      <c r="Z24" s="661">
        <v>2.1000000000000001E-2</v>
      </c>
      <c r="AA24" s="326">
        <v>1.9949999999999999E-2</v>
      </c>
      <c r="AB24" s="461">
        <f>VLOOKUP(J24,CauHinh_0!$C$7:$D$13,2,0)</f>
        <v>1350950.9500000002</v>
      </c>
      <c r="AC24" s="461">
        <f>R24*X24*AB24</f>
        <v>39501.805778000002</v>
      </c>
      <c r="AD24" s="461">
        <f>R24*Y24*AB24</f>
        <v>28478.046026000007</v>
      </c>
      <c r="AE24" s="461">
        <f>R24*Z24*AB24</f>
        <v>19291.579566000008</v>
      </c>
      <c r="AF24" s="461">
        <f>R24*AA24*AB24</f>
        <v>18327.000587700004</v>
      </c>
      <c r="AG24" s="125">
        <v>0</v>
      </c>
      <c r="AH24" s="461">
        <f>ROUND(AG24*AJ3,0)</f>
        <v>0</v>
      </c>
      <c r="AI24" s="125">
        <v>0</v>
      </c>
      <c r="AJ24" s="461">
        <f>ROUND(AI24*AJ3,0)</f>
        <v>0</v>
      </c>
      <c r="AK24" s="55">
        <v>0</v>
      </c>
      <c r="AL24" s="461">
        <f>(M24*AC24)+(N24*AD24)+(O24*AE24)+(P24*AF24)+AK24+AL25</f>
        <v>1551648.2231320003</v>
      </c>
      <c r="AM24" s="906">
        <v>1</v>
      </c>
      <c r="AN24" s="461">
        <f>AL24*AM24</f>
        <v>1551648.2231320003</v>
      </c>
      <c r="AO24" s="461">
        <f>(AN24/F24)+AH24+AJ24</f>
        <v>155.16482231320003</v>
      </c>
      <c r="AP24" s="160"/>
      <c r="AQ24" s="160"/>
    </row>
    <row r="25" spans="1:43" ht="14.1" customHeight="1" x14ac:dyDescent="0.25">
      <c r="A25" s="17"/>
      <c r="B25" s="17"/>
      <c r="C25" s="906"/>
      <c r="D25" s="17"/>
      <c r="E25" s="605">
        <v>1E-3</v>
      </c>
      <c r="F25" s="461">
        <v>10000</v>
      </c>
      <c r="G25" s="605"/>
      <c r="H25" s="100" t="s">
        <v>363</v>
      </c>
      <c r="I25" s="632"/>
      <c r="J25" s="125" t="s">
        <v>385</v>
      </c>
      <c r="K25" s="17"/>
      <c r="L25" s="125">
        <v>25</v>
      </c>
      <c r="M25" s="17">
        <f>IF(SUM(L24:L25)&lt;=1,L25,1-SUM(M24:M24))</f>
        <v>0</v>
      </c>
      <c r="N25" s="17">
        <f>IF(SUM(L24:L25)&lt;=10,L25-M25,9-SUM(N24:N24))</f>
        <v>5</v>
      </c>
      <c r="O25" s="17">
        <f>IF(SUM(L24:L25)&lt;=60,L25-M25-N25,50-SUM(O24:O24))</f>
        <v>20</v>
      </c>
      <c r="P25" s="17">
        <f t="shared" si="4"/>
        <v>0</v>
      </c>
      <c r="Q25" s="100" t="s">
        <v>1199</v>
      </c>
      <c r="R25" s="17">
        <v>1.8</v>
      </c>
      <c r="S25" s="906"/>
      <c r="T25" s="17"/>
      <c r="U25" s="17"/>
      <c r="V25" s="17"/>
      <c r="W25" s="17"/>
      <c r="X25" s="451"/>
      <c r="Y25" s="661"/>
      <c r="Z25" s="661"/>
      <c r="AA25" s="326"/>
      <c r="AB25" s="461">
        <f>VLOOKUP(J25,CauHinh_0!$C$7:$D$13,2,0)</f>
        <v>1350950.9500000002</v>
      </c>
      <c r="AC25" s="461">
        <f>R25*X24*AB25</f>
        <v>104563.60353000001</v>
      </c>
      <c r="AD25" s="461">
        <f>R25*Y24*AB25</f>
        <v>75383.063010000013</v>
      </c>
      <c r="AE25" s="461">
        <f>R25*Z24*AB25</f>
        <v>51065.945910000009</v>
      </c>
      <c r="AF25" s="461">
        <f>R25*AA24*AB25</f>
        <v>48512.648614500002</v>
      </c>
      <c r="AG25" s="125"/>
      <c r="AH25" s="461"/>
      <c r="AI25" s="125"/>
      <c r="AJ25" s="461"/>
      <c r="AK25" s="55">
        <v>0</v>
      </c>
      <c r="AL25" s="461">
        <f>(M25*AC25)+(N25*AD25)+(O25*AE25)+(P25*AF25)+AK25</f>
        <v>1398234.2332500003</v>
      </c>
      <c r="AM25" s="906">
        <v>0</v>
      </c>
      <c r="AN25" s="461"/>
      <c r="AO25" s="461"/>
      <c r="AP25" s="160"/>
      <c r="AQ25" s="160"/>
    </row>
    <row r="26" spans="1:43" ht="14.1" customHeight="1" x14ac:dyDescent="0.25">
      <c r="A26" s="17"/>
      <c r="B26" s="17"/>
      <c r="C26" s="906"/>
      <c r="D26" s="17"/>
      <c r="E26" s="605"/>
      <c r="F26" s="461"/>
      <c r="G26" s="605"/>
      <c r="H26" s="100"/>
      <c r="I26" s="632"/>
      <c r="J26" s="125"/>
      <c r="K26" s="17"/>
      <c r="L26" s="125"/>
      <c r="M26" s="17"/>
      <c r="N26" s="17"/>
      <c r="O26" s="17"/>
      <c r="P26" s="17"/>
      <c r="Q26" s="100"/>
      <c r="R26" s="17"/>
      <c r="S26" s="906"/>
      <c r="T26" s="17"/>
      <c r="U26" s="17"/>
      <c r="V26" s="17"/>
      <c r="W26" s="17"/>
      <c r="X26" s="451"/>
      <c r="Y26" s="661"/>
      <c r="Z26" s="661"/>
      <c r="AA26" s="326"/>
      <c r="AB26" s="461"/>
      <c r="AC26" s="461"/>
      <c r="AD26" s="461"/>
      <c r="AE26" s="461"/>
      <c r="AF26" s="461"/>
      <c r="AG26" s="125"/>
      <c r="AH26" s="461"/>
      <c r="AI26" s="125"/>
      <c r="AJ26" s="461"/>
      <c r="AK26" s="55"/>
      <c r="AL26" s="461"/>
      <c r="AM26" s="906"/>
      <c r="AN26" s="461"/>
      <c r="AO26" s="461"/>
      <c r="AP26" s="160"/>
      <c r="AQ26" s="160"/>
    </row>
    <row r="27" spans="1:43" ht="14.1" customHeight="1" x14ac:dyDescent="0.25">
      <c r="A27" s="500"/>
      <c r="B27" s="500"/>
      <c r="C27" s="656"/>
      <c r="D27" s="500"/>
      <c r="E27" s="331"/>
      <c r="F27" s="193"/>
      <c r="G27" s="331"/>
      <c r="H27" s="376"/>
      <c r="I27" s="352"/>
      <c r="J27" s="62"/>
      <c r="K27" s="500"/>
      <c r="L27" s="62"/>
      <c r="M27" s="500"/>
      <c r="N27" s="500"/>
      <c r="O27" s="500"/>
      <c r="P27" s="500"/>
      <c r="Q27" s="376"/>
      <c r="R27" s="500"/>
      <c r="S27" s="656"/>
      <c r="T27" s="500"/>
      <c r="U27" s="500"/>
      <c r="V27" s="500"/>
      <c r="W27" s="500"/>
      <c r="X27" s="500"/>
      <c r="Y27" s="500"/>
      <c r="Z27" s="500"/>
      <c r="AA27" s="500"/>
      <c r="AB27" s="193"/>
      <c r="AC27" s="193"/>
      <c r="AD27" s="193"/>
      <c r="AE27" s="193"/>
      <c r="AF27" s="193"/>
      <c r="AG27" s="700"/>
      <c r="AH27" s="193"/>
      <c r="AI27" s="700"/>
      <c r="AJ27" s="193"/>
      <c r="AK27" s="700"/>
      <c r="AL27" s="193"/>
      <c r="AM27" s="656"/>
      <c r="AN27" s="193"/>
      <c r="AO27" s="193"/>
      <c r="AP27" s="160"/>
      <c r="AQ27" s="160"/>
    </row>
    <row r="28" spans="1:43" ht="14.1" customHeight="1" x14ac:dyDescent="0.25">
      <c r="A28" s="244"/>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4"/>
    </row>
    <row r="29" spans="1:43" ht="15" customHeight="1" x14ac:dyDescent="0.25">
      <c r="A29" s="244"/>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row>
    <row r="30" spans="1:43" ht="15" customHeight="1" x14ac:dyDescent="0.25">
      <c r="A30" s="244"/>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row>
    <row r="31" spans="1:43" x14ac:dyDescent="0.25">
      <c r="A31" s="244"/>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row>
    <row r="32" spans="1:43" x14ac:dyDescent="0.25">
      <c r="A32" s="244"/>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row>
    <row r="33" spans="1:43" x14ac:dyDescent="0.25">
      <c r="A33" s="244"/>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c r="AP33" s="244"/>
      <c r="AQ33" s="244"/>
    </row>
    <row r="34" spans="1:43" x14ac:dyDescent="0.25">
      <c r="A34" s="244"/>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row>
    <row r="35" spans="1:43" x14ac:dyDescent="0.25">
      <c r="A35" s="244"/>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row>
    <row r="36" spans="1:43" x14ac:dyDescent="0.25">
      <c r="A36" s="244"/>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row>
    <row r="37" spans="1:43" x14ac:dyDescent="0.25">
      <c r="A37" s="244"/>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row>
    <row r="38" spans="1:43" x14ac:dyDescent="0.25">
      <c r="A38" s="244"/>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row>
    <row r="39" spans="1:43" x14ac:dyDescent="0.25">
      <c r="A39" s="244"/>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row>
    <row r="40" spans="1:43" x14ac:dyDescent="0.25">
      <c r="A40" s="244"/>
      <c r="B40" s="24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4"/>
      <c r="AP40" s="244"/>
      <c r="AQ40" s="244"/>
    </row>
    <row r="41" spans="1:43" x14ac:dyDescent="0.25">
      <c r="A41" s="244"/>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row>
    <row r="42" spans="1:43" x14ac:dyDescent="0.25">
      <c r="A42" s="244"/>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c r="AQ42" s="244"/>
    </row>
    <row r="43" spans="1:43" x14ac:dyDescent="0.25">
      <c r="A43" s="244"/>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row>
    <row r="44" spans="1:43" x14ac:dyDescent="0.25">
      <c r="A44" s="244"/>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row>
    <row r="45" spans="1:43" x14ac:dyDescent="0.25">
      <c r="A45" s="244"/>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row>
    <row r="46" spans="1:43" x14ac:dyDescent="0.25">
      <c r="A46" s="244"/>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row>
    <row r="47" spans="1:43" x14ac:dyDescent="0.25">
      <c r="A47" s="244"/>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44"/>
      <c r="AL47" s="244"/>
      <c r="AM47" s="244"/>
      <c r="AN47" s="244"/>
      <c r="AO47" s="244"/>
      <c r="AP47" s="244"/>
      <c r="AQ47" s="244"/>
    </row>
    <row r="48" spans="1:43" x14ac:dyDescent="0.25">
      <c r="A48" s="244"/>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44"/>
      <c r="AM48" s="244"/>
      <c r="AN48" s="244"/>
      <c r="AO48" s="244"/>
      <c r="AP48" s="244"/>
      <c r="AQ48" s="244"/>
    </row>
    <row r="49" spans="1:43" x14ac:dyDescent="0.25">
      <c r="A49" s="244"/>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row>
    <row r="50" spans="1:43"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4"/>
      <c r="AL50" s="244"/>
      <c r="AM50" s="244"/>
      <c r="AN50" s="244"/>
      <c r="AO50" s="244"/>
      <c r="AP50" s="244"/>
      <c r="AQ50" s="244"/>
    </row>
    <row r="51" spans="1:43"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c r="W51" s="244"/>
      <c r="X51" s="244"/>
      <c r="Y51" s="244"/>
      <c r="Z51" s="244"/>
      <c r="AA51" s="244"/>
      <c r="AB51" s="244"/>
      <c r="AC51" s="244"/>
      <c r="AD51" s="244"/>
      <c r="AE51" s="244"/>
      <c r="AF51" s="244"/>
      <c r="AG51" s="244"/>
      <c r="AH51" s="244"/>
      <c r="AI51" s="244"/>
      <c r="AJ51" s="244"/>
      <c r="AK51" s="244"/>
      <c r="AL51" s="244"/>
      <c r="AM51" s="244"/>
      <c r="AN51" s="244"/>
      <c r="AO51" s="244"/>
      <c r="AP51" s="244"/>
      <c r="AQ51" s="244"/>
    </row>
    <row r="52" spans="1:43" x14ac:dyDescent="0.25">
      <c r="A52" s="244"/>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c r="AN52" s="244"/>
      <c r="AO52" s="244"/>
      <c r="AP52" s="244"/>
      <c r="AQ52" s="244"/>
    </row>
    <row r="53" spans="1:43" x14ac:dyDescent="0.25">
      <c r="A53" s="244"/>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244"/>
      <c r="AP53" s="244"/>
      <c r="AQ53" s="244"/>
    </row>
    <row r="54" spans="1:43" x14ac:dyDescent="0.25">
      <c r="A54" s="244"/>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4"/>
      <c r="AL54" s="244"/>
      <c r="AM54" s="244"/>
      <c r="AN54" s="244"/>
      <c r="AO54" s="244"/>
      <c r="AP54" s="244"/>
      <c r="AQ54" s="244"/>
    </row>
    <row r="55" spans="1:43" x14ac:dyDescent="0.25">
      <c r="A55" s="244"/>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4"/>
      <c r="AL55" s="244"/>
      <c r="AM55" s="244"/>
      <c r="AN55" s="244"/>
      <c r="AO55" s="244"/>
      <c r="AP55" s="244"/>
      <c r="AQ55" s="244"/>
    </row>
    <row r="56" spans="1:43" ht="15.75" x14ac:dyDescent="0.25">
      <c r="A56" s="266"/>
      <c r="B56" s="266"/>
      <c r="C56" s="266"/>
      <c r="D56" s="266"/>
      <c r="E56" s="266"/>
      <c r="F56" s="868"/>
      <c r="G56" s="266"/>
      <c r="H56" s="266"/>
      <c r="I56" s="266"/>
      <c r="J56" s="266"/>
      <c r="K56" s="123"/>
      <c r="L56" s="123"/>
      <c r="M56" s="123"/>
      <c r="N56" s="123"/>
      <c r="O56" s="123"/>
      <c r="P56" s="123"/>
      <c r="Q56" s="266"/>
      <c r="R56" s="123"/>
      <c r="S56" s="266"/>
      <c r="T56" s="266"/>
      <c r="U56" s="266"/>
      <c r="V56" s="266"/>
      <c r="W56" s="266"/>
      <c r="X56" s="123"/>
      <c r="Y56" s="123"/>
      <c r="Z56" s="123"/>
      <c r="AA56" s="123"/>
      <c r="AB56" s="868"/>
      <c r="AC56" s="868"/>
      <c r="AD56" s="868"/>
      <c r="AE56" s="266"/>
      <c r="AF56" s="266"/>
      <c r="AG56" s="868"/>
      <c r="AH56" s="868"/>
      <c r="AI56" s="868"/>
      <c r="AJ56" s="266"/>
      <c r="AK56" s="266"/>
      <c r="AL56" s="868"/>
      <c r="AM56" s="266"/>
      <c r="AN56" s="868"/>
      <c r="AO56" s="868"/>
      <c r="AP56" s="266"/>
      <c r="AQ56" s="266"/>
    </row>
    <row r="57" spans="1:43" ht="15.75" x14ac:dyDescent="0.25">
      <c r="A57" s="266"/>
      <c r="B57" s="266"/>
      <c r="C57" s="266"/>
      <c r="D57" s="266"/>
      <c r="E57" s="266"/>
      <c r="F57" s="868"/>
      <c r="G57" s="266"/>
      <c r="H57" s="266"/>
      <c r="I57" s="266"/>
      <c r="J57" s="266"/>
      <c r="K57" s="123"/>
      <c r="L57" s="123"/>
      <c r="M57" s="123"/>
      <c r="N57" s="123"/>
      <c r="O57" s="123"/>
      <c r="P57" s="123"/>
      <c r="Q57" s="266"/>
      <c r="R57" s="123"/>
      <c r="S57" s="266"/>
      <c r="T57" s="266"/>
      <c r="U57" s="266"/>
      <c r="V57" s="266"/>
      <c r="W57" s="266"/>
      <c r="X57" s="123"/>
      <c r="Y57" s="123"/>
      <c r="Z57" s="123"/>
      <c r="AA57" s="123"/>
      <c r="AB57" s="868"/>
      <c r="AC57" s="868"/>
      <c r="AD57" s="868"/>
      <c r="AE57" s="266"/>
      <c r="AF57" s="266"/>
      <c r="AG57" s="868"/>
      <c r="AH57" s="868"/>
      <c r="AI57" s="868"/>
      <c r="AJ57" s="266"/>
      <c r="AK57" s="266"/>
      <c r="AL57" s="868"/>
      <c r="AM57" s="266"/>
      <c r="AN57" s="868"/>
      <c r="AO57" s="868"/>
      <c r="AP57" s="266"/>
      <c r="AQ57" s="266"/>
    </row>
    <row r="58" spans="1:43" ht="15.75" x14ac:dyDescent="0.25">
      <c r="A58" s="266"/>
      <c r="B58" s="266"/>
      <c r="C58" s="266"/>
      <c r="D58" s="266"/>
      <c r="E58" s="266"/>
      <c r="F58" s="868"/>
      <c r="G58" s="266"/>
      <c r="H58" s="266"/>
      <c r="I58" s="266"/>
      <c r="J58" s="266"/>
      <c r="K58" s="123"/>
      <c r="L58" s="123"/>
      <c r="M58" s="123"/>
      <c r="N58" s="123"/>
      <c r="O58" s="123"/>
      <c r="P58" s="123"/>
      <c r="Q58" s="266"/>
      <c r="R58" s="123"/>
      <c r="S58" s="266"/>
      <c r="T58" s="266"/>
      <c r="U58" s="266"/>
      <c r="V58" s="266"/>
      <c r="W58" s="266"/>
      <c r="X58" s="123"/>
      <c r="Y58" s="123"/>
      <c r="Z58" s="123"/>
      <c r="AA58" s="123"/>
      <c r="AB58" s="868"/>
      <c r="AC58" s="868"/>
      <c r="AD58" s="868"/>
      <c r="AE58" s="266"/>
      <c r="AF58" s="266"/>
      <c r="AG58" s="868"/>
      <c r="AH58" s="868"/>
      <c r="AI58" s="868"/>
      <c r="AJ58" s="266"/>
      <c r="AK58" s="266"/>
      <c r="AL58" s="868"/>
      <c r="AM58" s="266"/>
      <c r="AN58" s="868"/>
      <c r="AO58" s="868"/>
      <c r="AP58" s="266"/>
      <c r="AQ58" s="266"/>
    </row>
    <row r="59" spans="1:43" ht="15.75" x14ac:dyDescent="0.25">
      <c r="A59" s="266"/>
      <c r="B59" s="266"/>
      <c r="C59" s="266"/>
      <c r="D59" s="266"/>
      <c r="E59" s="266"/>
      <c r="F59" s="868"/>
      <c r="G59" s="266"/>
      <c r="H59" s="266"/>
      <c r="I59" s="266"/>
      <c r="J59" s="266"/>
      <c r="K59" s="123"/>
      <c r="L59" s="123"/>
      <c r="M59" s="123"/>
      <c r="N59" s="123"/>
      <c r="O59" s="123"/>
      <c r="P59" s="123"/>
      <c r="Q59" s="266"/>
      <c r="R59" s="123"/>
      <c r="S59" s="266"/>
      <c r="T59" s="266"/>
      <c r="U59" s="266"/>
      <c r="V59" s="266"/>
      <c r="W59" s="266"/>
      <c r="X59" s="123"/>
      <c r="Y59" s="123"/>
      <c r="Z59" s="123"/>
      <c r="AA59" s="123"/>
      <c r="AB59" s="868"/>
      <c r="AC59" s="868"/>
      <c r="AD59" s="868"/>
      <c r="AE59" s="266"/>
      <c r="AF59" s="266"/>
      <c r="AG59" s="868"/>
      <c r="AH59" s="868"/>
      <c r="AI59" s="868"/>
      <c r="AJ59" s="266"/>
      <c r="AK59" s="266"/>
      <c r="AL59" s="868"/>
      <c r="AM59" s="266"/>
      <c r="AN59" s="868"/>
      <c r="AO59" s="868"/>
      <c r="AP59" s="266"/>
      <c r="AQ59" s="266"/>
    </row>
    <row r="60" spans="1:43" ht="15.75" x14ac:dyDescent="0.25">
      <c r="A60" s="266"/>
      <c r="B60" s="266"/>
      <c r="C60" s="266"/>
      <c r="D60" s="266"/>
      <c r="E60" s="266"/>
      <c r="F60" s="868"/>
      <c r="G60" s="266"/>
      <c r="H60" s="266"/>
      <c r="I60" s="266"/>
      <c r="J60" s="266"/>
      <c r="K60" s="123"/>
      <c r="L60" s="123"/>
      <c r="M60" s="123"/>
      <c r="N60" s="123"/>
      <c r="O60" s="123"/>
      <c r="P60" s="123"/>
      <c r="Q60" s="266"/>
      <c r="R60" s="123"/>
      <c r="S60" s="266"/>
      <c r="T60" s="266"/>
      <c r="U60" s="266"/>
      <c r="V60" s="266"/>
      <c r="W60" s="266"/>
      <c r="X60" s="123"/>
      <c r="Y60" s="123"/>
      <c r="Z60" s="123"/>
      <c r="AA60" s="123"/>
      <c r="AB60" s="868"/>
      <c r="AC60" s="868"/>
      <c r="AD60" s="868"/>
      <c r="AE60" s="266"/>
      <c r="AF60" s="266"/>
      <c r="AG60" s="868"/>
      <c r="AH60" s="868"/>
      <c r="AI60" s="868"/>
      <c r="AJ60" s="266"/>
      <c r="AK60" s="266"/>
      <c r="AL60" s="868"/>
      <c r="AM60" s="266"/>
      <c r="AN60" s="868"/>
      <c r="AO60" s="868"/>
      <c r="AP60" s="266"/>
      <c r="AQ60" s="266"/>
    </row>
    <row r="61" spans="1:43" ht="15.75" x14ac:dyDescent="0.25">
      <c r="A61" s="266"/>
      <c r="B61" s="266"/>
      <c r="C61" s="266"/>
      <c r="D61" s="266"/>
      <c r="E61" s="266"/>
      <c r="F61" s="868"/>
      <c r="G61" s="266"/>
      <c r="H61" s="266"/>
      <c r="I61" s="266"/>
      <c r="J61" s="266"/>
      <c r="K61" s="123"/>
      <c r="L61" s="123"/>
      <c r="M61" s="123"/>
      <c r="N61" s="123"/>
      <c r="O61" s="123"/>
      <c r="P61" s="123"/>
      <c r="Q61" s="266"/>
      <c r="R61" s="123"/>
      <c r="S61" s="266"/>
      <c r="T61" s="266"/>
      <c r="U61" s="266"/>
      <c r="V61" s="266"/>
      <c r="W61" s="266"/>
      <c r="X61" s="123"/>
      <c r="Y61" s="123"/>
      <c r="Z61" s="123"/>
      <c r="AA61" s="123"/>
      <c r="AB61" s="868"/>
      <c r="AC61" s="868"/>
      <c r="AD61" s="868"/>
      <c r="AE61" s="266"/>
      <c r="AF61" s="266"/>
      <c r="AG61" s="868"/>
      <c r="AH61" s="868"/>
      <c r="AI61" s="868"/>
      <c r="AJ61" s="266"/>
      <c r="AK61" s="266"/>
      <c r="AL61" s="868"/>
      <c r="AM61" s="266"/>
      <c r="AN61" s="868"/>
      <c r="AO61" s="868"/>
      <c r="AP61" s="266"/>
      <c r="AQ61" s="266"/>
    </row>
    <row r="62" spans="1:43" ht="15.75" x14ac:dyDescent="0.25">
      <c r="A62" s="266"/>
      <c r="B62" s="266"/>
      <c r="C62" s="266"/>
      <c r="D62" s="266"/>
      <c r="E62" s="266"/>
      <c r="F62" s="868"/>
      <c r="G62" s="266"/>
      <c r="H62" s="266"/>
      <c r="I62" s="266"/>
      <c r="J62" s="266"/>
      <c r="K62" s="123"/>
      <c r="L62" s="123"/>
      <c r="M62" s="123"/>
      <c r="N62" s="123"/>
      <c r="O62" s="123"/>
      <c r="P62" s="123"/>
      <c r="Q62" s="266"/>
      <c r="R62" s="123"/>
      <c r="S62" s="266"/>
      <c r="T62" s="266"/>
      <c r="U62" s="266"/>
      <c r="V62" s="266"/>
      <c r="W62" s="266"/>
      <c r="X62" s="123"/>
      <c r="Y62" s="123"/>
      <c r="Z62" s="123"/>
      <c r="AA62" s="123"/>
      <c r="AB62" s="868"/>
      <c r="AC62" s="868"/>
      <c r="AD62" s="868"/>
      <c r="AE62" s="266"/>
      <c r="AF62" s="266"/>
      <c r="AG62" s="868"/>
      <c r="AH62" s="868"/>
      <c r="AI62" s="868"/>
      <c r="AJ62" s="266"/>
      <c r="AK62" s="266"/>
      <c r="AL62" s="868"/>
      <c r="AM62" s="266"/>
      <c r="AN62" s="868"/>
      <c r="AO62" s="868"/>
      <c r="AP62" s="266"/>
      <c r="AQ62" s="266"/>
    </row>
    <row r="63" spans="1:43" ht="15.75" x14ac:dyDescent="0.25">
      <c r="A63" s="266"/>
      <c r="B63" s="266"/>
      <c r="C63" s="266"/>
      <c r="D63" s="266"/>
      <c r="E63" s="266"/>
      <c r="F63" s="868"/>
      <c r="G63" s="266"/>
      <c r="H63" s="266"/>
      <c r="I63" s="266"/>
      <c r="J63" s="266"/>
      <c r="K63" s="123"/>
      <c r="L63" s="123"/>
      <c r="M63" s="123"/>
      <c r="N63" s="123"/>
      <c r="O63" s="123"/>
      <c r="P63" s="123"/>
      <c r="Q63" s="266"/>
      <c r="R63" s="123"/>
      <c r="S63" s="266"/>
      <c r="T63" s="266"/>
      <c r="U63" s="266"/>
      <c r="V63" s="266"/>
      <c r="W63" s="266"/>
      <c r="X63" s="123"/>
      <c r="Y63" s="123"/>
      <c r="Z63" s="123"/>
      <c r="AA63" s="123"/>
      <c r="AB63" s="868"/>
      <c r="AC63" s="868"/>
      <c r="AD63" s="868"/>
      <c r="AE63" s="266"/>
      <c r="AF63" s="266"/>
      <c r="AG63" s="868"/>
      <c r="AH63" s="868"/>
      <c r="AI63" s="868"/>
      <c r="AJ63" s="266"/>
      <c r="AK63" s="266"/>
      <c r="AL63" s="868"/>
      <c r="AM63" s="266"/>
      <c r="AN63" s="868"/>
      <c r="AO63" s="868"/>
      <c r="AP63" s="266"/>
      <c r="AQ63" s="266"/>
    </row>
    <row r="64" spans="1:43" ht="15.75" x14ac:dyDescent="0.25">
      <c r="A64" s="266"/>
      <c r="B64" s="266"/>
      <c r="C64" s="266"/>
      <c r="D64" s="266"/>
      <c r="E64" s="266"/>
      <c r="F64" s="868"/>
      <c r="G64" s="266"/>
      <c r="H64" s="266"/>
      <c r="I64" s="266"/>
      <c r="J64" s="266"/>
      <c r="K64" s="123"/>
      <c r="L64" s="123"/>
      <c r="M64" s="123"/>
      <c r="N64" s="123"/>
      <c r="O64" s="123"/>
      <c r="P64" s="123"/>
      <c r="Q64" s="266"/>
      <c r="R64" s="123"/>
      <c r="S64" s="266"/>
      <c r="T64" s="266"/>
      <c r="U64" s="266"/>
      <c r="V64" s="266"/>
      <c r="W64" s="266"/>
      <c r="X64" s="123"/>
      <c r="Y64" s="123"/>
      <c r="Z64" s="123"/>
      <c r="AA64" s="123"/>
      <c r="AB64" s="868"/>
      <c r="AC64" s="868"/>
      <c r="AD64" s="868"/>
      <c r="AE64" s="266"/>
      <c r="AF64" s="266"/>
      <c r="AG64" s="868"/>
      <c r="AH64" s="868"/>
      <c r="AI64" s="868"/>
      <c r="AJ64" s="266"/>
      <c r="AK64" s="266"/>
      <c r="AL64" s="868"/>
      <c r="AM64" s="266"/>
      <c r="AN64" s="868"/>
      <c r="AO64" s="868"/>
      <c r="AP64" s="266"/>
      <c r="AQ64" s="266"/>
    </row>
    <row r="65" spans="1:43" ht="15.75" x14ac:dyDescent="0.25">
      <c r="A65" s="266"/>
      <c r="B65" s="266"/>
      <c r="C65" s="266"/>
      <c r="D65" s="266"/>
      <c r="E65" s="266"/>
      <c r="F65" s="868"/>
      <c r="G65" s="266"/>
      <c r="H65" s="266"/>
      <c r="I65" s="266"/>
      <c r="J65" s="266"/>
      <c r="K65" s="123"/>
      <c r="L65" s="123"/>
      <c r="M65" s="123"/>
      <c r="N65" s="123"/>
      <c r="O65" s="123"/>
      <c r="P65" s="123"/>
      <c r="Q65" s="266"/>
      <c r="R65" s="123"/>
      <c r="S65" s="266"/>
      <c r="T65" s="266"/>
      <c r="U65" s="266"/>
      <c r="V65" s="266"/>
      <c r="W65" s="266"/>
      <c r="X65" s="123"/>
      <c r="Y65" s="123"/>
      <c r="Z65" s="123"/>
      <c r="AA65" s="123"/>
      <c r="AB65" s="868"/>
      <c r="AC65" s="868"/>
      <c r="AD65" s="868"/>
      <c r="AE65" s="266"/>
      <c r="AF65" s="266"/>
      <c r="AG65" s="868"/>
      <c r="AH65" s="868"/>
      <c r="AI65" s="868"/>
      <c r="AJ65" s="266"/>
      <c r="AK65" s="266"/>
      <c r="AL65" s="868"/>
      <c r="AM65" s="266"/>
      <c r="AN65" s="868"/>
      <c r="AO65" s="868"/>
      <c r="AP65" s="266"/>
      <c r="AQ65" s="266"/>
    </row>
    <row r="66" spans="1:43" ht="15.75" x14ac:dyDescent="0.25">
      <c r="A66" s="266"/>
      <c r="B66" s="266"/>
      <c r="C66" s="266"/>
      <c r="D66" s="266"/>
      <c r="E66" s="266"/>
      <c r="F66" s="868"/>
      <c r="G66" s="266"/>
      <c r="H66" s="266"/>
      <c r="I66" s="266"/>
      <c r="J66" s="266"/>
      <c r="K66" s="123"/>
      <c r="L66" s="123"/>
      <c r="M66" s="123"/>
      <c r="N66" s="123"/>
      <c r="O66" s="123"/>
      <c r="P66" s="123"/>
      <c r="Q66" s="266"/>
      <c r="R66" s="123"/>
      <c r="S66" s="266"/>
      <c r="T66" s="266"/>
      <c r="U66" s="266"/>
      <c r="V66" s="266"/>
      <c r="W66" s="266"/>
      <c r="X66" s="123"/>
      <c r="Y66" s="123"/>
      <c r="Z66" s="123"/>
      <c r="AA66" s="123"/>
      <c r="AB66" s="868"/>
      <c r="AC66" s="868"/>
      <c r="AD66" s="868"/>
      <c r="AE66" s="266"/>
      <c r="AF66" s="266"/>
      <c r="AG66" s="868"/>
      <c r="AH66" s="868"/>
      <c r="AI66" s="868"/>
      <c r="AJ66" s="266"/>
      <c r="AK66" s="266"/>
      <c r="AL66" s="868"/>
      <c r="AM66" s="266"/>
      <c r="AN66" s="868"/>
      <c r="AO66" s="868"/>
      <c r="AP66" s="266"/>
      <c r="AQ66" s="266"/>
    </row>
    <row r="67" spans="1:43" ht="15.75" x14ac:dyDescent="0.25">
      <c r="A67" s="266"/>
      <c r="B67" s="266"/>
      <c r="C67" s="266"/>
      <c r="D67" s="266"/>
      <c r="E67" s="266"/>
      <c r="F67" s="868"/>
      <c r="G67" s="266"/>
      <c r="H67" s="266"/>
      <c r="I67" s="266"/>
      <c r="J67" s="266"/>
      <c r="K67" s="123"/>
      <c r="L67" s="123"/>
      <c r="M67" s="123"/>
      <c r="N67" s="123"/>
      <c r="O67" s="123"/>
      <c r="P67" s="123"/>
      <c r="Q67" s="266"/>
      <c r="R67" s="123"/>
      <c r="S67" s="266"/>
      <c r="T67" s="266"/>
      <c r="U67" s="266"/>
      <c r="V67" s="266"/>
      <c r="W67" s="266"/>
      <c r="X67" s="123"/>
      <c r="Y67" s="123"/>
      <c r="Z67" s="123"/>
      <c r="AA67" s="123"/>
      <c r="AB67" s="868"/>
      <c r="AC67" s="868"/>
      <c r="AD67" s="868"/>
      <c r="AE67" s="266"/>
      <c r="AF67" s="266"/>
      <c r="AG67" s="868"/>
      <c r="AH67" s="868"/>
      <c r="AI67" s="868"/>
      <c r="AJ67" s="266"/>
      <c r="AK67" s="266"/>
      <c r="AL67" s="868"/>
      <c r="AM67" s="266"/>
      <c r="AN67" s="868"/>
      <c r="AO67" s="868"/>
      <c r="AP67" s="266"/>
      <c r="AQ67" s="266"/>
    </row>
    <row r="68" spans="1:43" ht="15.75" x14ac:dyDescent="0.25">
      <c r="A68" s="266"/>
      <c r="B68" s="266"/>
      <c r="C68" s="266"/>
      <c r="D68" s="266"/>
      <c r="E68" s="266"/>
      <c r="F68" s="868"/>
      <c r="G68" s="266"/>
      <c r="H68" s="266"/>
      <c r="I68" s="266"/>
      <c r="J68" s="266"/>
      <c r="K68" s="123"/>
      <c r="L68" s="123"/>
      <c r="M68" s="123"/>
      <c r="N68" s="123"/>
      <c r="O68" s="123"/>
      <c r="P68" s="123"/>
      <c r="Q68" s="266"/>
      <c r="R68" s="123"/>
      <c r="S68" s="266"/>
      <c r="T68" s="266"/>
      <c r="U68" s="266"/>
      <c r="V68" s="266"/>
      <c r="W68" s="266"/>
      <c r="X68" s="123"/>
      <c r="Y68" s="123"/>
      <c r="Z68" s="123"/>
      <c r="AA68" s="123"/>
      <c r="AB68" s="868"/>
      <c r="AC68" s="868"/>
      <c r="AD68" s="868"/>
      <c r="AE68" s="266"/>
      <c r="AF68" s="266"/>
      <c r="AG68" s="868"/>
      <c r="AH68" s="868"/>
      <c r="AI68" s="868"/>
      <c r="AJ68" s="266"/>
      <c r="AK68" s="266"/>
      <c r="AL68" s="868"/>
      <c r="AM68" s="266"/>
      <c r="AN68" s="868"/>
      <c r="AO68" s="868"/>
      <c r="AP68" s="266"/>
      <c r="AQ68" s="266"/>
    </row>
    <row r="69" spans="1:43" ht="15.75" x14ac:dyDescent="0.25">
      <c r="A69" s="266"/>
      <c r="B69" s="266"/>
      <c r="C69" s="266"/>
      <c r="D69" s="266"/>
      <c r="E69" s="266"/>
      <c r="F69" s="868"/>
      <c r="G69" s="266"/>
      <c r="H69" s="266"/>
      <c r="I69" s="266"/>
      <c r="J69" s="266"/>
      <c r="K69" s="123"/>
      <c r="L69" s="123"/>
      <c r="M69" s="123"/>
      <c r="N69" s="123"/>
      <c r="O69" s="123"/>
      <c r="P69" s="123"/>
      <c r="Q69" s="266"/>
      <c r="R69" s="123"/>
      <c r="S69" s="266"/>
      <c r="T69" s="266"/>
      <c r="U69" s="266"/>
      <c r="V69" s="266"/>
      <c r="W69" s="266"/>
      <c r="X69" s="123"/>
      <c r="Y69" s="123"/>
      <c r="Z69" s="123"/>
      <c r="AA69" s="123"/>
      <c r="AB69" s="868"/>
      <c r="AC69" s="868"/>
      <c r="AD69" s="868"/>
      <c r="AE69" s="266"/>
      <c r="AF69" s="266"/>
      <c r="AG69" s="868"/>
      <c r="AH69" s="868"/>
      <c r="AI69" s="868"/>
      <c r="AJ69" s="266"/>
      <c r="AK69" s="266"/>
      <c r="AL69" s="868"/>
      <c r="AM69" s="266"/>
      <c r="AN69" s="868"/>
      <c r="AO69" s="868"/>
      <c r="AP69" s="266"/>
      <c r="AQ69" s="266"/>
    </row>
    <row r="70" spans="1:43" ht="15.75" x14ac:dyDescent="0.25">
      <c r="A70" s="266"/>
      <c r="B70" s="266"/>
      <c r="C70" s="266"/>
      <c r="D70" s="266"/>
      <c r="E70" s="266"/>
      <c r="F70" s="868"/>
      <c r="G70" s="266"/>
      <c r="H70" s="266"/>
      <c r="I70" s="266"/>
      <c r="J70" s="266"/>
      <c r="K70" s="123"/>
      <c r="L70" s="123"/>
      <c r="M70" s="123"/>
      <c r="N70" s="123"/>
      <c r="O70" s="123"/>
      <c r="P70" s="123"/>
      <c r="Q70" s="266"/>
      <c r="R70" s="123"/>
      <c r="S70" s="266"/>
      <c r="T70" s="266"/>
      <c r="U70" s="266"/>
      <c r="V70" s="266"/>
      <c r="W70" s="266"/>
      <c r="X70" s="123"/>
      <c r="Y70" s="123"/>
      <c r="Z70" s="123"/>
      <c r="AA70" s="123"/>
      <c r="AB70" s="868"/>
      <c r="AC70" s="868"/>
      <c r="AD70" s="868"/>
      <c r="AE70" s="266"/>
      <c r="AF70" s="266"/>
      <c r="AG70" s="868"/>
      <c r="AH70" s="868"/>
      <c r="AI70" s="868"/>
      <c r="AJ70" s="266"/>
      <c r="AK70" s="266"/>
      <c r="AL70" s="868"/>
      <c r="AM70" s="266"/>
      <c r="AN70" s="868"/>
      <c r="AO70" s="868"/>
      <c r="AP70" s="266"/>
      <c r="AQ70" s="266"/>
    </row>
    <row r="71" spans="1:43" ht="15.75" x14ac:dyDescent="0.25">
      <c r="A71" s="266"/>
      <c r="B71" s="266"/>
      <c r="C71" s="266"/>
      <c r="D71" s="266"/>
      <c r="E71" s="266"/>
      <c r="F71" s="868"/>
      <c r="G71" s="266"/>
      <c r="H71" s="266"/>
      <c r="I71" s="266"/>
      <c r="J71" s="266"/>
      <c r="K71" s="123"/>
      <c r="L71" s="123"/>
      <c r="M71" s="123"/>
      <c r="N71" s="123"/>
      <c r="O71" s="123"/>
      <c r="P71" s="123"/>
      <c r="Q71" s="266"/>
      <c r="R71" s="123"/>
      <c r="S71" s="266"/>
      <c r="T71" s="266"/>
      <c r="U71" s="266"/>
      <c r="V71" s="266"/>
      <c r="W71" s="266"/>
      <c r="X71" s="123"/>
      <c r="Y71" s="123"/>
      <c r="Z71" s="123"/>
      <c r="AA71" s="123"/>
      <c r="AB71" s="868"/>
      <c r="AC71" s="868"/>
      <c r="AD71" s="868"/>
      <c r="AE71" s="266"/>
      <c r="AF71" s="266"/>
      <c r="AG71" s="868"/>
      <c r="AH71" s="868"/>
      <c r="AI71" s="868"/>
      <c r="AJ71" s="266"/>
      <c r="AK71" s="266"/>
      <c r="AL71" s="868"/>
      <c r="AM71" s="266"/>
      <c r="AN71" s="868"/>
      <c r="AO71" s="868"/>
      <c r="AP71" s="266"/>
      <c r="AQ71" s="266"/>
    </row>
    <row r="72" spans="1:43" ht="15.75" x14ac:dyDescent="0.25">
      <c r="A72" s="266"/>
      <c r="B72" s="266"/>
      <c r="C72" s="266"/>
      <c r="D72" s="266"/>
      <c r="E72" s="266"/>
      <c r="F72" s="868"/>
      <c r="G72" s="266"/>
      <c r="H72" s="266"/>
      <c r="I72" s="266"/>
      <c r="J72" s="266"/>
      <c r="K72" s="123"/>
      <c r="L72" s="123"/>
      <c r="M72" s="123"/>
      <c r="N72" s="123"/>
      <c r="O72" s="123"/>
      <c r="P72" s="123"/>
      <c r="Q72" s="266"/>
      <c r="R72" s="123"/>
      <c r="S72" s="266"/>
      <c r="T72" s="266"/>
      <c r="U72" s="266"/>
      <c r="V72" s="266"/>
      <c r="W72" s="266"/>
      <c r="X72" s="123"/>
      <c r="Y72" s="123"/>
      <c r="Z72" s="123"/>
      <c r="AA72" s="123"/>
      <c r="AB72" s="868"/>
      <c r="AC72" s="868"/>
      <c r="AD72" s="868"/>
      <c r="AE72" s="266"/>
      <c r="AF72" s="266"/>
      <c r="AG72" s="868"/>
      <c r="AH72" s="868"/>
      <c r="AI72" s="868"/>
      <c r="AJ72" s="266"/>
      <c r="AK72" s="266"/>
      <c r="AL72" s="868"/>
      <c r="AM72" s="266"/>
      <c r="AN72" s="868"/>
      <c r="AO72" s="868"/>
      <c r="AP72" s="266"/>
      <c r="AQ72" s="266"/>
    </row>
    <row r="73" spans="1:43" ht="15.75" x14ac:dyDescent="0.25">
      <c r="A73" s="266"/>
      <c r="B73" s="266"/>
      <c r="C73" s="266"/>
      <c r="D73" s="266"/>
      <c r="E73" s="266"/>
      <c r="F73" s="868"/>
      <c r="G73" s="266"/>
      <c r="H73" s="266"/>
      <c r="I73" s="266"/>
      <c r="J73" s="266"/>
      <c r="K73" s="123"/>
      <c r="L73" s="123"/>
      <c r="M73" s="123"/>
      <c r="N73" s="123"/>
      <c r="O73" s="123"/>
      <c r="P73" s="123"/>
      <c r="Q73" s="266"/>
      <c r="R73" s="123"/>
      <c r="S73" s="266"/>
      <c r="T73" s="266"/>
      <c r="U73" s="266"/>
      <c r="V73" s="266"/>
      <c r="W73" s="266"/>
      <c r="X73" s="123"/>
      <c r="Y73" s="123"/>
      <c r="Z73" s="123"/>
      <c r="AA73" s="123"/>
      <c r="AB73" s="868"/>
      <c r="AC73" s="868"/>
      <c r="AD73" s="868"/>
      <c r="AE73" s="266"/>
      <c r="AF73" s="266"/>
      <c r="AG73" s="868"/>
      <c r="AH73" s="868"/>
      <c r="AI73" s="868"/>
      <c r="AJ73" s="266"/>
      <c r="AK73" s="266"/>
      <c r="AL73" s="868"/>
      <c r="AM73" s="266"/>
      <c r="AN73" s="868"/>
      <c r="AO73" s="868"/>
      <c r="AP73" s="266"/>
      <c r="AQ73" s="266"/>
    </row>
    <row r="74" spans="1:43" ht="15.75" x14ac:dyDescent="0.25">
      <c r="A74" s="266"/>
      <c r="B74" s="266"/>
      <c r="C74" s="266"/>
      <c r="D74" s="266"/>
      <c r="E74" s="266"/>
      <c r="F74" s="868"/>
      <c r="G74" s="266"/>
      <c r="H74" s="266"/>
      <c r="I74" s="266"/>
      <c r="J74" s="266"/>
      <c r="K74" s="123"/>
      <c r="L74" s="123"/>
      <c r="M74" s="123"/>
      <c r="N74" s="123"/>
      <c r="O74" s="123"/>
      <c r="P74" s="123"/>
      <c r="Q74" s="266"/>
      <c r="R74" s="123"/>
      <c r="S74" s="266"/>
      <c r="T74" s="266"/>
      <c r="U74" s="266"/>
      <c r="V74" s="266"/>
      <c r="W74" s="266"/>
      <c r="X74" s="123"/>
      <c r="Y74" s="123"/>
      <c r="Z74" s="123"/>
      <c r="AA74" s="123"/>
      <c r="AB74" s="868"/>
      <c r="AC74" s="868"/>
      <c r="AD74" s="868"/>
      <c r="AE74" s="266"/>
      <c r="AF74" s="266"/>
      <c r="AG74" s="868"/>
      <c r="AH74" s="868"/>
      <c r="AI74" s="868"/>
      <c r="AJ74" s="266"/>
      <c r="AK74" s="266"/>
      <c r="AL74" s="868"/>
      <c r="AM74" s="266"/>
      <c r="AN74" s="868"/>
      <c r="AO74" s="868"/>
      <c r="AP74" s="266"/>
      <c r="AQ74" s="266"/>
    </row>
    <row r="75" spans="1:43" ht="15.75" x14ac:dyDescent="0.25">
      <c r="A75" s="266"/>
      <c r="B75" s="266"/>
      <c r="C75" s="266"/>
      <c r="D75" s="266"/>
      <c r="E75" s="266"/>
      <c r="F75" s="868"/>
      <c r="G75" s="266"/>
      <c r="H75" s="266"/>
      <c r="I75" s="266"/>
      <c r="J75" s="266"/>
      <c r="K75" s="123"/>
      <c r="L75" s="123"/>
      <c r="M75" s="123"/>
      <c r="N75" s="123"/>
      <c r="O75" s="123"/>
      <c r="P75" s="123"/>
      <c r="Q75" s="266"/>
      <c r="R75" s="123"/>
      <c r="S75" s="266"/>
      <c r="T75" s="266"/>
      <c r="U75" s="266"/>
      <c r="V75" s="266"/>
      <c r="W75" s="266"/>
      <c r="X75" s="123"/>
      <c r="Y75" s="123"/>
      <c r="Z75" s="123"/>
      <c r="AA75" s="123"/>
      <c r="AB75" s="868"/>
      <c r="AC75" s="868"/>
      <c r="AD75" s="868"/>
      <c r="AE75" s="266"/>
      <c r="AF75" s="266"/>
      <c r="AG75" s="868"/>
      <c r="AH75" s="868"/>
      <c r="AI75" s="868"/>
      <c r="AJ75" s="266"/>
      <c r="AK75" s="266"/>
      <c r="AL75" s="868"/>
      <c r="AM75" s="266"/>
      <c r="AN75" s="868"/>
      <c r="AO75" s="868"/>
      <c r="AP75" s="266"/>
      <c r="AQ75" s="266"/>
    </row>
    <row r="76" spans="1:43" ht="15.75" x14ac:dyDescent="0.25">
      <c r="A76" s="266"/>
      <c r="B76" s="266"/>
      <c r="C76" s="266"/>
      <c r="D76" s="266"/>
      <c r="E76" s="266"/>
      <c r="F76" s="868"/>
      <c r="G76" s="266"/>
      <c r="H76" s="266"/>
      <c r="I76" s="266"/>
      <c r="J76" s="266"/>
      <c r="K76" s="123"/>
      <c r="L76" s="123"/>
      <c r="M76" s="123"/>
      <c r="N76" s="123"/>
      <c r="O76" s="123"/>
      <c r="P76" s="123"/>
      <c r="Q76" s="266"/>
      <c r="R76" s="123"/>
      <c r="S76" s="266"/>
      <c r="T76" s="266"/>
      <c r="U76" s="266"/>
      <c r="V76" s="266"/>
      <c r="W76" s="266"/>
      <c r="X76" s="123"/>
      <c r="Y76" s="123"/>
      <c r="Z76" s="123"/>
      <c r="AA76" s="123"/>
      <c r="AB76" s="868"/>
      <c r="AC76" s="868"/>
      <c r="AD76" s="868"/>
      <c r="AE76" s="266"/>
      <c r="AF76" s="266"/>
      <c r="AG76" s="868"/>
      <c r="AH76" s="868"/>
      <c r="AI76" s="868"/>
      <c r="AJ76" s="266"/>
      <c r="AK76" s="266"/>
      <c r="AL76" s="868"/>
      <c r="AM76" s="266"/>
      <c r="AN76" s="868"/>
      <c r="AO76" s="868"/>
      <c r="AP76" s="266"/>
      <c r="AQ76" s="266"/>
    </row>
    <row r="77" spans="1:43" ht="15.75" x14ac:dyDescent="0.25">
      <c r="A77" s="266"/>
      <c r="B77" s="266"/>
      <c r="C77" s="266"/>
      <c r="D77" s="266"/>
      <c r="E77" s="266"/>
      <c r="F77" s="868"/>
      <c r="G77" s="266"/>
      <c r="H77" s="266"/>
      <c r="I77" s="266"/>
      <c r="J77" s="266"/>
      <c r="K77" s="123"/>
      <c r="L77" s="123"/>
      <c r="M77" s="123"/>
      <c r="N77" s="123"/>
      <c r="O77" s="123"/>
      <c r="P77" s="123"/>
      <c r="Q77" s="266"/>
      <c r="R77" s="123"/>
      <c r="S77" s="266"/>
      <c r="T77" s="266"/>
      <c r="U77" s="266"/>
      <c r="V77" s="266"/>
      <c r="W77" s="266"/>
      <c r="X77" s="123"/>
      <c r="Y77" s="123"/>
      <c r="Z77" s="123"/>
      <c r="AA77" s="123"/>
      <c r="AB77" s="868"/>
      <c r="AC77" s="868"/>
      <c r="AD77" s="868"/>
      <c r="AE77" s="266"/>
      <c r="AF77" s="266"/>
      <c r="AG77" s="868"/>
      <c r="AH77" s="868"/>
      <c r="AI77" s="868"/>
      <c r="AJ77" s="266"/>
      <c r="AK77" s="266"/>
      <c r="AL77" s="868"/>
      <c r="AM77" s="266"/>
      <c r="AN77" s="868"/>
      <c r="AO77" s="868"/>
      <c r="AP77" s="266"/>
      <c r="AQ77" s="266"/>
    </row>
    <row r="78" spans="1:43" ht="15.75" x14ac:dyDescent="0.25">
      <c r="A78" s="266"/>
      <c r="B78" s="266"/>
      <c r="C78" s="266"/>
      <c r="D78" s="266"/>
      <c r="E78" s="266"/>
      <c r="F78" s="868"/>
      <c r="G78" s="266"/>
      <c r="H78" s="266"/>
      <c r="I78" s="266"/>
      <c r="J78" s="266"/>
      <c r="K78" s="123"/>
      <c r="L78" s="123"/>
      <c r="M78" s="123"/>
      <c r="N78" s="123"/>
      <c r="O78" s="123"/>
      <c r="P78" s="123"/>
      <c r="Q78" s="266"/>
      <c r="R78" s="123"/>
      <c r="S78" s="266"/>
      <c r="T78" s="266"/>
      <c r="U78" s="266"/>
      <c r="V78" s="266"/>
      <c r="W78" s="266"/>
      <c r="X78" s="123"/>
      <c r="Y78" s="123"/>
      <c r="Z78" s="123"/>
      <c r="AA78" s="123"/>
      <c r="AB78" s="868"/>
      <c r="AC78" s="868"/>
      <c r="AD78" s="868"/>
      <c r="AE78" s="266"/>
      <c r="AF78" s="266"/>
      <c r="AG78" s="868"/>
      <c r="AH78" s="868"/>
      <c r="AI78" s="868"/>
      <c r="AJ78" s="266"/>
      <c r="AK78" s="266"/>
      <c r="AL78" s="868"/>
      <c r="AM78" s="266"/>
      <c r="AN78" s="868"/>
      <c r="AO78" s="868"/>
      <c r="AP78" s="266"/>
      <c r="AQ78" s="266"/>
    </row>
    <row r="79" spans="1:43" ht="15.75" x14ac:dyDescent="0.25">
      <c r="A79" s="266"/>
      <c r="B79" s="266"/>
      <c r="C79" s="266"/>
      <c r="D79" s="266"/>
      <c r="E79" s="266"/>
      <c r="F79" s="868"/>
      <c r="G79" s="266"/>
      <c r="H79" s="266"/>
      <c r="I79" s="266"/>
      <c r="J79" s="266"/>
      <c r="K79" s="123"/>
      <c r="L79" s="123"/>
      <c r="M79" s="123"/>
      <c r="N79" s="123"/>
      <c r="O79" s="123"/>
      <c r="P79" s="123"/>
      <c r="Q79" s="266"/>
      <c r="R79" s="123"/>
      <c r="S79" s="266"/>
      <c r="T79" s="266"/>
      <c r="U79" s="266"/>
      <c r="V79" s="266"/>
      <c r="W79" s="266"/>
      <c r="X79" s="123"/>
      <c r="Y79" s="123"/>
      <c r="Z79" s="123"/>
      <c r="AA79" s="123"/>
      <c r="AB79" s="868"/>
      <c r="AC79" s="868"/>
      <c r="AD79" s="868"/>
      <c r="AE79" s="266"/>
      <c r="AF79" s="266"/>
      <c r="AG79" s="868"/>
      <c r="AH79" s="868"/>
      <c r="AI79" s="868"/>
      <c r="AJ79" s="266"/>
      <c r="AK79" s="266"/>
      <c r="AL79" s="868"/>
      <c r="AM79" s="266"/>
      <c r="AN79" s="868"/>
      <c r="AO79" s="868"/>
      <c r="AP79" s="266"/>
      <c r="AQ79" s="266"/>
    </row>
    <row r="80" spans="1:43" ht="15.75" x14ac:dyDescent="0.25">
      <c r="A80" s="266"/>
      <c r="B80" s="266"/>
      <c r="C80" s="266"/>
      <c r="D80" s="266"/>
      <c r="E80" s="266"/>
      <c r="F80" s="868"/>
      <c r="G80" s="266"/>
      <c r="H80" s="266"/>
      <c r="I80" s="266"/>
      <c r="J80" s="266"/>
      <c r="K80" s="123"/>
      <c r="L80" s="123"/>
      <c r="M80" s="123"/>
      <c r="N80" s="123"/>
      <c r="O80" s="123"/>
      <c r="P80" s="123"/>
      <c r="Q80" s="266"/>
      <c r="R80" s="123"/>
      <c r="S80" s="266"/>
      <c r="T80" s="266"/>
      <c r="U80" s="266"/>
      <c r="V80" s="266"/>
      <c r="W80" s="266"/>
      <c r="X80" s="123"/>
      <c r="Y80" s="123"/>
      <c r="Z80" s="123"/>
      <c r="AA80" s="123"/>
      <c r="AB80" s="868"/>
      <c r="AC80" s="868"/>
      <c r="AD80" s="868"/>
      <c r="AE80" s="266"/>
      <c r="AF80" s="266"/>
      <c r="AG80" s="868"/>
      <c r="AH80" s="868"/>
      <c r="AI80" s="868"/>
      <c r="AJ80" s="266"/>
      <c r="AK80" s="266"/>
      <c r="AL80" s="868"/>
      <c r="AM80" s="266"/>
      <c r="AN80" s="868"/>
      <c r="AO80" s="868"/>
      <c r="AP80" s="266"/>
      <c r="AQ80" s="266"/>
    </row>
    <row r="81" spans="1:43" ht="15.75" x14ac:dyDescent="0.25">
      <c r="A81" s="266"/>
      <c r="B81" s="266"/>
      <c r="C81" s="266"/>
      <c r="D81" s="266"/>
      <c r="E81" s="266"/>
      <c r="F81" s="868"/>
      <c r="G81" s="266"/>
      <c r="H81" s="266"/>
      <c r="I81" s="266"/>
      <c r="J81" s="266"/>
      <c r="K81" s="123"/>
      <c r="L81" s="123"/>
      <c r="M81" s="123"/>
      <c r="N81" s="123"/>
      <c r="O81" s="123"/>
      <c r="P81" s="123"/>
      <c r="Q81" s="266"/>
      <c r="R81" s="123"/>
      <c r="S81" s="266"/>
      <c r="T81" s="266"/>
      <c r="U81" s="266"/>
      <c r="V81" s="266"/>
      <c r="W81" s="266"/>
      <c r="X81" s="123"/>
      <c r="Y81" s="123"/>
      <c r="Z81" s="123"/>
      <c r="AA81" s="123"/>
      <c r="AB81" s="868"/>
      <c r="AC81" s="868"/>
      <c r="AD81" s="868"/>
      <c r="AE81" s="266"/>
      <c r="AF81" s="266"/>
      <c r="AG81" s="868"/>
      <c r="AH81" s="868"/>
      <c r="AI81" s="868"/>
      <c r="AJ81" s="266"/>
      <c r="AK81" s="266"/>
      <c r="AL81" s="868"/>
      <c r="AM81" s="266"/>
      <c r="AN81" s="868"/>
      <c r="AO81" s="868"/>
      <c r="AP81" s="266"/>
      <c r="AQ81" s="266"/>
    </row>
    <row r="82" spans="1:43" ht="15.75" x14ac:dyDescent="0.25">
      <c r="A82" s="266"/>
      <c r="B82" s="266"/>
      <c r="C82" s="266"/>
      <c r="D82" s="266"/>
      <c r="E82" s="266"/>
      <c r="F82" s="868"/>
      <c r="G82" s="266"/>
      <c r="H82" s="266"/>
      <c r="I82" s="266"/>
      <c r="J82" s="266"/>
      <c r="K82" s="123"/>
      <c r="L82" s="123"/>
      <c r="M82" s="123"/>
      <c r="N82" s="123"/>
      <c r="O82" s="123"/>
      <c r="P82" s="123"/>
      <c r="Q82" s="266"/>
      <c r="R82" s="123"/>
      <c r="S82" s="266"/>
      <c r="T82" s="266"/>
      <c r="U82" s="266"/>
      <c r="V82" s="266"/>
      <c r="W82" s="266"/>
      <c r="X82" s="123"/>
      <c r="Y82" s="123"/>
      <c r="Z82" s="123"/>
      <c r="AA82" s="123"/>
      <c r="AB82" s="868"/>
      <c r="AC82" s="868"/>
      <c r="AD82" s="868"/>
      <c r="AE82" s="266"/>
      <c r="AF82" s="266"/>
      <c r="AG82" s="868"/>
      <c r="AH82" s="868"/>
      <c r="AI82" s="868"/>
      <c r="AJ82" s="266"/>
      <c r="AK82" s="266"/>
      <c r="AL82" s="868"/>
      <c r="AM82" s="266"/>
      <c r="AN82" s="868"/>
      <c r="AO82" s="868"/>
      <c r="AP82" s="266"/>
      <c r="AQ82" s="266"/>
    </row>
    <row r="83" spans="1:43" ht="15.75" x14ac:dyDescent="0.25">
      <c r="A83" s="266"/>
      <c r="B83" s="266"/>
      <c r="C83" s="266"/>
      <c r="D83" s="266"/>
      <c r="E83" s="266"/>
      <c r="F83" s="868"/>
      <c r="G83" s="266"/>
      <c r="H83" s="266"/>
      <c r="I83" s="266"/>
      <c r="J83" s="266"/>
      <c r="K83" s="123"/>
      <c r="L83" s="123"/>
      <c r="M83" s="123"/>
      <c r="N83" s="123"/>
      <c r="O83" s="123"/>
      <c r="P83" s="123"/>
      <c r="Q83" s="266"/>
      <c r="R83" s="123"/>
      <c r="S83" s="266"/>
      <c r="T83" s="266"/>
      <c r="U83" s="266"/>
      <c r="V83" s="266"/>
      <c r="W83" s="266"/>
      <c r="X83" s="123"/>
      <c r="Y83" s="123"/>
      <c r="Z83" s="123"/>
      <c r="AA83" s="123"/>
      <c r="AB83" s="868"/>
      <c r="AC83" s="868"/>
      <c r="AD83" s="868"/>
      <c r="AE83" s="266"/>
      <c r="AF83" s="266"/>
      <c r="AG83" s="868"/>
      <c r="AH83" s="868"/>
      <c r="AI83" s="868"/>
      <c r="AJ83" s="266"/>
      <c r="AK83" s="266"/>
      <c r="AL83" s="868"/>
      <c r="AM83" s="266"/>
      <c r="AN83" s="868"/>
      <c r="AO83" s="868"/>
      <c r="AP83" s="266"/>
      <c r="AQ83" s="266"/>
    </row>
    <row r="84" spans="1:43" ht="15.75" x14ac:dyDescent="0.25">
      <c r="A84" s="266"/>
      <c r="B84" s="266"/>
      <c r="C84" s="266"/>
      <c r="D84" s="266"/>
      <c r="E84" s="266"/>
      <c r="F84" s="868"/>
      <c r="G84" s="266"/>
      <c r="H84" s="266"/>
      <c r="I84" s="266"/>
      <c r="J84" s="266"/>
      <c r="K84" s="123"/>
      <c r="L84" s="123"/>
      <c r="M84" s="123"/>
      <c r="N84" s="123"/>
      <c r="O84" s="123"/>
      <c r="P84" s="123"/>
      <c r="Q84" s="266"/>
      <c r="R84" s="123"/>
      <c r="S84" s="266"/>
      <c r="T84" s="266"/>
      <c r="U84" s="266"/>
      <c r="V84" s="266"/>
      <c r="W84" s="266"/>
      <c r="X84" s="123"/>
      <c r="Y84" s="123"/>
      <c r="Z84" s="123"/>
      <c r="AA84" s="123"/>
      <c r="AB84" s="868"/>
      <c r="AC84" s="868"/>
      <c r="AD84" s="868"/>
      <c r="AE84" s="266"/>
      <c r="AF84" s="266"/>
      <c r="AG84" s="868"/>
      <c r="AH84" s="868"/>
      <c r="AI84" s="868"/>
      <c r="AJ84" s="266"/>
      <c r="AK84" s="266"/>
      <c r="AL84" s="868"/>
      <c r="AM84" s="266"/>
      <c r="AN84" s="868"/>
      <c r="AO84" s="868"/>
      <c r="AP84" s="266"/>
      <c r="AQ84" s="266"/>
    </row>
    <row r="85" spans="1:43" ht="15.75" x14ac:dyDescent="0.25">
      <c r="A85" s="266"/>
      <c r="B85" s="266"/>
      <c r="C85" s="266"/>
      <c r="D85" s="266"/>
      <c r="E85" s="266"/>
      <c r="F85" s="868"/>
      <c r="G85" s="266"/>
      <c r="H85" s="266"/>
      <c r="I85" s="266"/>
      <c r="J85" s="266"/>
      <c r="K85" s="123"/>
      <c r="L85" s="123"/>
      <c r="M85" s="123"/>
      <c r="N85" s="123"/>
      <c r="O85" s="123"/>
      <c r="P85" s="123"/>
      <c r="Q85" s="266"/>
      <c r="R85" s="123"/>
      <c r="S85" s="266"/>
      <c r="T85" s="266"/>
      <c r="U85" s="266"/>
      <c r="V85" s="266"/>
      <c r="W85" s="266"/>
      <c r="X85" s="123"/>
      <c r="Y85" s="123"/>
      <c r="Z85" s="123"/>
      <c r="AA85" s="123"/>
      <c r="AB85" s="868"/>
      <c r="AC85" s="868"/>
      <c r="AD85" s="868"/>
      <c r="AE85" s="266"/>
      <c r="AF85" s="266"/>
      <c r="AG85" s="868"/>
      <c r="AH85" s="868"/>
      <c r="AI85" s="868"/>
      <c r="AJ85" s="266"/>
      <c r="AK85" s="266"/>
      <c r="AL85" s="868"/>
      <c r="AM85" s="266"/>
      <c r="AN85" s="868"/>
      <c r="AO85" s="868"/>
      <c r="AP85" s="266"/>
      <c r="AQ85" s="266"/>
    </row>
    <row r="86" spans="1:43" ht="15.75" x14ac:dyDescent="0.25">
      <c r="A86" s="266"/>
      <c r="B86" s="266"/>
      <c r="C86" s="266"/>
      <c r="D86" s="266"/>
      <c r="E86" s="266"/>
      <c r="F86" s="868"/>
      <c r="G86" s="266"/>
      <c r="H86" s="266"/>
      <c r="I86" s="266"/>
      <c r="J86" s="266"/>
      <c r="K86" s="123"/>
      <c r="L86" s="123"/>
      <c r="M86" s="123"/>
      <c r="N86" s="123"/>
      <c r="O86" s="123"/>
      <c r="P86" s="123"/>
      <c r="Q86" s="266"/>
      <c r="R86" s="123"/>
      <c r="S86" s="266"/>
      <c r="T86" s="266"/>
      <c r="U86" s="266"/>
      <c r="V86" s="266"/>
      <c r="W86" s="266"/>
      <c r="X86" s="123"/>
      <c r="Y86" s="123"/>
      <c r="Z86" s="123"/>
      <c r="AA86" s="123"/>
      <c r="AB86" s="868"/>
      <c r="AC86" s="868"/>
      <c r="AD86" s="868"/>
      <c r="AE86" s="266"/>
      <c r="AF86" s="266"/>
      <c r="AG86" s="868"/>
      <c r="AH86" s="868"/>
      <c r="AI86" s="868"/>
      <c r="AJ86" s="266"/>
      <c r="AK86" s="266"/>
      <c r="AL86" s="868"/>
      <c r="AM86" s="266"/>
      <c r="AN86" s="868"/>
      <c r="AO86" s="868"/>
      <c r="AP86" s="266"/>
      <c r="AQ86" s="266"/>
    </row>
    <row r="87" spans="1:43" ht="15.75" x14ac:dyDescent="0.25">
      <c r="A87" s="266"/>
      <c r="B87" s="266"/>
      <c r="C87" s="266"/>
      <c r="D87" s="266"/>
      <c r="E87" s="266"/>
      <c r="F87" s="868"/>
      <c r="G87" s="266"/>
      <c r="H87" s="266"/>
      <c r="I87" s="266"/>
      <c r="J87" s="266"/>
      <c r="K87" s="123"/>
      <c r="L87" s="123"/>
      <c r="M87" s="123"/>
      <c r="N87" s="123"/>
      <c r="O87" s="123"/>
      <c r="P87" s="123"/>
      <c r="Q87" s="266"/>
      <c r="R87" s="123"/>
      <c r="S87" s="266"/>
      <c r="T87" s="266"/>
      <c r="U87" s="266"/>
      <c r="V87" s="266"/>
      <c r="W87" s="266"/>
      <c r="X87" s="123"/>
      <c r="Y87" s="123"/>
      <c r="Z87" s="123"/>
      <c r="AA87" s="123"/>
      <c r="AB87" s="868"/>
      <c r="AC87" s="868"/>
      <c r="AD87" s="868"/>
      <c r="AE87" s="266"/>
      <c r="AF87" s="266"/>
      <c r="AG87" s="868"/>
      <c r="AH87" s="868"/>
      <c r="AI87" s="868"/>
      <c r="AJ87" s="266"/>
      <c r="AK87" s="266"/>
      <c r="AL87" s="868"/>
      <c r="AM87" s="266"/>
      <c r="AN87" s="868"/>
      <c r="AO87" s="868"/>
      <c r="AP87" s="266"/>
      <c r="AQ87" s="266"/>
    </row>
    <row r="88" spans="1:43" ht="15.75" x14ac:dyDescent="0.25">
      <c r="A88" s="266"/>
      <c r="B88" s="266"/>
      <c r="C88" s="266"/>
      <c r="D88" s="266"/>
      <c r="E88" s="266"/>
      <c r="F88" s="868"/>
      <c r="G88" s="266"/>
      <c r="H88" s="266"/>
      <c r="I88" s="266"/>
      <c r="J88" s="266"/>
      <c r="K88" s="123"/>
      <c r="L88" s="123"/>
      <c r="M88" s="123"/>
      <c r="N88" s="123"/>
      <c r="O88" s="123"/>
      <c r="P88" s="123"/>
      <c r="Q88" s="266"/>
      <c r="R88" s="123"/>
      <c r="S88" s="266"/>
      <c r="T88" s="266"/>
      <c r="U88" s="266"/>
      <c r="V88" s="266"/>
      <c r="W88" s="266"/>
      <c r="X88" s="123"/>
      <c r="Y88" s="123"/>
      <c r="Z88" s="123"/>
      <c r="AA88" s="123"/>
      <c r="AB88" s="868"/>
      <c r="AC88" s="868"/>
      <c r="AD88" s="868"/>
      <c r="AE88" s="266"/>
      <c r="AF88" s="266"/>
      <c r="AG88" s="868"/>
      <c r="AH88" s="868"/>
      <c r="AI88" s="868"/>
      <c r="AJ88" s="266"/>
      <c r="AK88" s="266"/>
      <c r="AL88" s="868"/>
      <c r="AM88" s="266"/>
      <c r="AN88" s="868"/>
      <c r="AO88" s="868"/>
      <c r="AP88" s="266"/>
      <c r="AQ88" s="266"/>
    </row>
    <row r="89" spans="1:43" ht="15.75" x14ac:dyDescent="0.25">
      <c r="A89" s="266"/>
      <c r="B89" s="266"/>
      <c r="C89" s="266"/>
      <c r="D89" s="266"/>
      <c r="E89" s="266"/>
      <c r="F89" s="868"/>
      <c r="G89" s="266"/>
      <c r="H89" s="266"/>
      <c r="I89" s="266"/>
      <c r="J89" s="266"/>
      <c r="K89" s="123"/>
      <c r="L89" s="123"/>
      <c r="M89" s="123"/>
      <c r="N89" s="123"/>
      <c r="O89" s="123"/>
      <c r="P89" s="123"/>
      <c r="Q89" s="266"/>
      <c r="R89" s="123"/>
      <c r="S89" s="266"/>
      <c r="T89" s="266"/>
      <c r="U89" s="266"/>
      <c r="V89" s="266"/>
      <c r="W89" s="266"/>
      <c r="X89" s="123"/>
      <c r="Y89" s="123"/>
      <c r="Z89" s="123"/>
      <c r="AA89" s="123"/>
      <c r="AB89" s="868"/>
      <c r="AC89" s="868"/>
      <c r="AD89" s="868"/>
      <c r="AE89" s="266"/>
      <c r="AF89" s="266"/>
      <c r="AG89" s="868"/>
      <c r="AH89" s="868"/>
      <c r="AI89" s="868"/>
      <c r="AJ89" s="266"/>
      <c r="AK89" s="266"/>
      <c r="AL89" s="868"/>
      <c r="AM89" s="266"/>
      <c r="AN89" s="868"/>
      <c r="AO89" s="868"/>
      <c r="AP89" s="266"/>
      <c r="AQ89" s="266"/>
    </row>
    <row r="90" spans="1:43" ht="15.75" x14ac:dyDescent="0.25">
      <c r="A90" s="266"/>
      <c r="B90" s="266"/>
      <c r="C90" s="266"/>
      <c r="D90" s="266"/>
      <c r="E90" s="266"/>
      <c r="F90" s="868"/>
      <c r="G90" s="266"/>
      <c r="H90" s="266"/>
      <c r="I90" s="266"/>
      <c r="J90" s="266"/>
      <c r="K90" s="123"/>
      <c r="L90" s="123"/>
      <c r="M90" s="123"/>
      <c r="N90" s="123"/>
      <c r="O90" s="123"/>
      <c r="P90" s="123"/>
      <c r="Q90" s="266"/>
      <c r="R90" s="123"/>
      <c r="S90" s="266"/>
      <c r="T90" s="266"/>
      <c r="U90" s="266"/>
      <c r="V90" s="266"/>
      <c r="W90" s="266"/>
      <c r="X90" s="123"/>
      <c r="Y90" s="123"/>
      <c r="Z90" s="123"/>
      <c r="AA90" s="123"/>
      <c r="AB90" s="868"/>
      <c r="AC90" s="868"/>
      <c r="AD90" s="868"/>
      <c r="AE90" s="266"/>
      <c r="AF90" s="266"/>
      <c r="AG90" s="868"/>
      <c r="AH90" s="868"/>
      <c r="AI90" s="868"/>
      <c r="AJ90" s="266"/>
      <c r="AK90" s="266"/>
      <c r="AL90" s="868"/>
      <c r="AM90" s="266"/>
      <c r="AN90" s="868"/>
      <c r="AO90" s="868"/>
      <c r="AP90" s="266"/>
      <c r="AQ90" s="266"/>
    </row>
    <row r="91" spans="1:43" ht="15.75" x14ac:dyDescent="0.25">
      <c r="A91" s="266"/>
      <c r="B91" s="266"/>
      <c r="C91" s="266"/>
      <c r="D91" s="266"/>
      <c r="E91" s="266"/>
      <c r="F91" s="868"/>
      <c r="G91" s="266"/>
      <c r="H91" s="266"/>
      <c r="I91" s="266"/>
      <c r="J91" s="266"/>
      <c r="K91" s="123"/>
      <c r="L91" s="123"/>
      <c r="M91" s="123"/>
      <c r="N91" s="123"/>
      <c r="O91" s="123"/>
      <c r="P91" s="123"/>
      <c r="Q91" s="266"/>
      <c r="R91" s="123"/>
      <c r="S91" s="266"/>
      <c r="T91" s="266"/>
      <c r="U91" s="266"/>
      <c r="V91" s="266"/>
      <c r="W91" s="266"/>
      <c r="X91" s="123"/>
      <c r="Y91" s="123"/>
      <c r="Z91" s="123"/>
      <c r="AA91" s="123"/>
      <c r="AB91" s="868"/>
      <c r="AC91" s="868"/>
      <c r="AD91" s="868"/>
      <c r="AE91" s="266"/>
      <c r="AF91" s="266"/>
      <c r="AG91" s="868"/>
      <c r="AH91" s="868"/>
      <c r="AI91" s="868"/>
      <c r="AJ91" s="266"/>
      <c r="AK91" s="266"/>
      <c r="AL91" s="868"/>
      <c r="AM91" s="266"/>
      <c r="AN91" s="868"/>
      <c r="AO91" s="868"/>
      <c r="AP91" s="266"/>
      <c r="AQ91" s="266"/>
    </row>
    <row r="92" spans="1:43" ht="15.75" x14ac:dyDescent="0.25">
      <c r="A92" s="266"/>
      <c r="B92" s="266"/>
      <c r="C92" s="266"/>
      <c r="D92" s="266"/>
      <c r="E92" s="266"/>
      <c r="F92" s="868"/>
      <c r="G92" s="266"/>
      <c r="H92" s="266"/>
      <c r="I92" s="266"/>
      <c r="J92" s="266"/>
      <c r="K92" s="123"/>
      <c r="L92" s="123"/>
      <c r="M92" s="123"/>
      <c r="N92" s="123"/>
      <c r="O92" s="123"/>
      <c r="P92" s="123"/>
      <c r="Q92" s="266"/>
      <c r="R92" s="123"/>
      <c r="S92" s="266"/>
      <c r="T92" s="266"/>
      <c r="U92" s="266"/>
      <c r="V92" s="266"/>
      <c r="W92" s="266"/>
      <c r="X92" s="123"/>
      <c r="Y92" s="123"/>
      <c r="Z92" s="123"/>
      <c r="AA92" s="123"/>
      <c r="AB92" s="868"/>
      <c r="AC92" s="868"/>
      <c r="AD92" s="868"/>
      <c r="AE92" s="266"/>
      <c r="AF92" s="266"/>
      <c r="AG92" s="868"/>
      <c r="AH92" s="868"/>
      <c r="AI92" s="868"/>
      <c r="AJ92" s="266"/>
      <c r="AK92" s="266"/>
      <c r="AL92" s="868"/>
      <c r="AM92" s="266"/>
      <c r="AN92" s="868"/>
      <c r="AO92" s="868"/>
      <c r="AP92" s="266"/>
      <c r="AQ92" s="266"/>
    </row>
    <row r="93" spans="1:43" ht="15.75" x14ac:dyDescent="0.25">
      <c r="A93" s="266"/>
      <c r="B93" s="266"/>
      <c r="C93" s="266"/>
      <c r="D93" s="266"/>
      <c r="E93" s="266"/>
      <c r="F93" s="868"/>
      <c r="G93" s="266"/>
      <c r="H93" s="266"/>
      <c r="I93" s="266"/>
      <c r="J93" s="266"/>
      <c r="K93" s="123"/>
      <c r="L93" s="123"/>
      <c r="M93" s="123"/>
      <c r="N93" s="123"/>
      <c r="O93" s="123"/>
      <c r="P93" s="123"/>
      <c r="Q93" s="266"/>
      <c r="R93" s="123"/>
      <c r="S93" s="266"/>
      <c r="T93" s="266"/>
      <c r="U93" s="266"/>
      <c r="V93" s="266"/>
      <c r="W93" s="266"/>
      <c r="X93" s="123"/>
      <c r="Y93" s="123"/>
      <c r="Z93" s="123"/>
      <c r="AA93" s="123"/>
      <c r="AB93" s="868"/>
      <c r="AC93" s="868"/>
      <c r="AD93" s="868"/>
      <c r="AE93" s="266"/>
      <c r="AF93" s="266"/>
      <c r="AG93" s="868"/>
      <c r="AH93" s="868"/>
      <c r="AI93" s="868"/>
      <c r="AJ93" s="266"/>
      <c r="AK93" s="266"/>
      <c r="AL93" s="868"/>
      <c r="AM93" s="266"/>
      <c r="AN93" s="868"/>
      <c r="AO93" s="868"/>
      <c r="AP93" s="266"/>
      <c r="AQ93" s="266"/>
    </row>
    <row r="94" spans="1:43" ht="15.75" x14ac:dyDescent="0.25">
      <c r="A94" s="266"/>
      <c r="B94" s="266"/>
      <c r="C94" s="266"/>
      <c r="D94" s="266"/>
      <c r="E94" s="266"/>
      <c r="F94" s="868"/>
      <c r="G94" s="266"/>
      <c r="H94" s="266"/>
      <c r="I94" s="266"/>
      <c r="J94" s="266"/>
      <c r="K94" s="123"/>
      <c r="L94" s="123"/>
      <c r="M94" s="123"/>
      <c r="N94" s="123"/>
      <c r="O94" s="123"/>
      <c r="P94" s="123"/>
      <c r="Q94" s="266"/>
      <c r="R94" s="123"/>
      <c r="S94" s="266"/>
      <c r="T94" s="266"/>
      <c r="U94" s="266"/>
      <c r="V94" s="266"/>
      <c r="W94" s="266"/>
      <c r="X94" s="123"/>
      <c r="Y94" s="123"/>
      <c r="Z94" s="123"/>
      <c r="AA94" s="123"/>
      <c r="AB94" s="868"/>
      <c r="AC94" s="868"/>
      <c r="AD94" s="868"/>
      <c r="AE94" s="266"/>
      <c r="AF94" s="266"/>
      <c r="AG94" s="868"/>
      <c r="AH94" s="868"/>
      <c r="AI94" s="868"/>
      <c r="AJ94" s="266"/>
      <c r="AK94" s="266"/>
      <c r="AL94" s="868"/>
      <c r="AM94" s="266"/>
      <c r="AN94" s="868"/>
      <c r="AO94" s="868"/>
      <c r="AP94" s="266"/>
      <c r="AQ94" s="266"/>
    </row>
    <row r="95" spans="1:43" ht="15.75" x14ac:dyDescent="0.25">
      <c r="A95" s="266"/>
      <c r="B95" s="266"/>
      <c r="C95" s="266"/>
      <c r="D95" s="266"/>
      <c r="E95" s="266"/>
      <c r="F95" s="868"/>
      <c r="G95" s="266"/>
      <c r="H95" s="266"/>
      <c r="I95" s="266"/>
      <c r="J95" s="266"/>
      <c r="K95" s="123"/>
      <c r="L95" s="123"/>
      <c r="M95" s="123"/>
      <c r="N95" s="123"/>
      <c r="O95" s="123"/>
      <c r="P95" s="123"/>
      <c r="Q95" s="266"/>
      <c r="R95" s="123"/>
      <c r="S95" s="266"/>
      <c r="T95" s="266"/>
      <c r="U95" s="266"/>
      <c r="V95" s="266"/>
      <c r="W95" s="266"/>
      <c r="X95" s="123"/>
      <c r="Y95" s="123"/>
      <c r="Z95" s="123"/>
      <c r="AA95" s="123"/>
      <c r="AB95" s="868"/>
      <c r="AC95" s="868"/>
      <c r="AD95" s="868"/>
      <c r="AE95" s="266"/>
      <c r="AF95" s="266"/>
      <c r="AG95" s="868"/>
      <c r="AH95" s="868"/>
      <c r="AI95" s="868"/>
      <c r="AJ95" s="266"/>
      <c r="AK95" s="266"/>
      <c r="AL95" s="868"/>
      <c r="AM95" s="266"/>
      <c r="AN95" s="868"/>
      <c r="AO95" s="868"/>
      <c r="AP95" s="266"/>
      <c r="AQ95" s="266"/>
    </row>
    <row r="96" spans="1:43" ht="15.75" x14ac:dyDescent="0.25">
      <c r="A96" s="266"/>
      <c r="B96" s="266"/>
      <c r="C96" s="266"/>
      <c r="D96" s="266"/>
      <c r="E96" s="266"/>
      <c r="F96" s="868"/>
      <c r="G96" s="266"/>
      <c r="H96" s="266"/>
      <c r="I96" s="266"/>
      <c r="J96" s="266"/>
      <c r="K96" s="123"/>
      <c r="L96" s="123"/>
      <c r="M96" s="123"/>
      <c r="N96" s="123"/>
      <c r="O96" s="123"/>
      <c r="P96" s="123"/>
      <c r="Q96" s="266"/>
      <c r="R96" s="123"/>
      <c r="S96" s="266"/>
      <c r="T96" s="266"/>
      <c r="U96" s="266"/>
      <c r="V96" s="266"/>
      <c r="W96" s="266"/>
      <c r="X96" s="123"/>
      <c r="Y96" s="123"/>
      <c r="Z96" s="123"/>
      <c r="AA96" s="123"/>
      <c r="AB96" s="868"/>
      <c r="AC96" s="868"/>
      <c r="AD96" s="868"/>
      <c r="AE96" s="266"/>
      <c r="AF96" s="266"/>
      <c r="AG96" s="868"/>
      <c r="AH96" s="868"/>
      <c r="AI96" s="868"/>
      <c r="AJ96" s="266"/>
      <c r="AK96" s="266"/>
      <c r="AL96" s="868"/>
      <c r="AM96" s="266"/>
      <c r="AN96" s="868"/>
      <c r="AO96" s="868"/>
      <c r="AP96" s="266"/>
      <c r="AQ96" s="266"/>
    </row>
    <row r="97" spans="1:43" ht="15.75" x14ac:dyDescent="0.25">
      <c r="A97" s="266"/>
      <c r="B97" s="266"/>
      <c r="C97" s="266"/>
      <c r="D97" s="266"/>
      <c r="E97" s="266"/>
      <c r="F97" s="868"/>
      <c r="G97" s="266"/>
      <c r="H97" s="266"/>
      <c r="I97" s="266"/>
      <c r="J97" s="266"/>
      <c r="K97" s="123"/>
      <c r="L97" s="123"/>
      <c r="M97" s="123"/>
      <c r="N97" s="123"/>
      <c r="O97" s="123"/>
      <c r="P97" s="123"/>
      <c r="Q97" s="266"/>
      <c r="R97" s="123"/>
      <c r="S97" s="266"/>
      <c r="T97" s="266"/>
      <c r="U97" s="266"/>
      <c r="V97" s="266"/>
      <c r="W97" s="266"/>
      <c r="X97" s="123"/>
      <c r="Y97" s="123"/>
      <c r="Z97" s="123"/>
      <c r="AA97" s="123"/>
      <c r="AB97" s="868"/>
      <c r="AC97" s="868"/>
      <c r="AD97" s="868"/>
      <c r="AE97" s="266"/>
      <c r="AF97" s="266"/>
      <c r="AG97" s="868"/>
      <c r="AH97" s="868"/>
      <c r="AI97" s="868"/>
      <c r="AJ97" s="266"/>
      <c r="AK97" s="266"/>
      <c r="AL97" s="868"/>
      <c r="AM97" s="266"/>
      <c r="AN97" s="868"/>
      <c r="AO97" s="868"/>
      <c r="AP97" s="266"/>
      <c r="AQ97" s="266"/>
    </row>
    <row r="98" spans="1:43" ht="15.75" x14ac:dyDescent="0.25">
      <c r="A98" s="266"/>
      <c r="B98" s="266"/>
      <c r="C98" s="266"/>
      <c r="D98" s="266"/>
      <c r="E98" s="266"/>
      <c r="F98" s="868"/>
      <c r="G98" s="266"/>
      <c r="H98" s="266"/>
      <c r="I98" s="266"/>
      <c r="J98" s="266"/>
      <c r="K98" s="123"/>
      <c r="L98" s="123"/>
      <c r="M98" s="123"/>
      <c r="N98" s="123"/>
      <c r="O98" s="123"/>
      <c r="P98" s="123"/>
      <c r="Q98" s="266"/>
      <c r="R98" s="123"/>
      <c r="S98" s="266"/>
      <c r="T98" s="266"/>
      <c r="U98" s="266"/>
      <c r="V98" s="266"/>
      <c r="W98" s="266"/>
      <c r="X98" s="123"/>
      <c r="Y98" s="123"/>
      <c r="Z98" s="123"/>
      <c r="AA98" s="123"/>
      <c r="AB98" s="868"/>
      <c r="AC98" s="868"/>
      <c r="AD98" s="868"/>
      <c r="AE98" s="266"/>
      <c r="AF98" s="266"/>
      <c r="AG98" s="868"/>
      <c r="AH98" s="868"/>
      <c r="AI98" s="868"/>
      <c r="AJ98" s="266"/>
      <c r="AK98" s="266"/>
      <c r="AL98" s="868"/>
      <c r="AM98" s="266"/>
      <c r="AN98" s="868"/>
      <c r="AO98" s="868"/>
      <c r="AP98" s="266"/>
      <c r="AQ98" s="266"/>
    </row>
    <row r="99" spans="1:43" ht="15.75" x14ac:dyDescent="0.25">
      <c r="A99" s="266"/>
      <c r="B99" s="266"/>
      <c r="C99" s="266"/>
      <c r="D99" s="266"/>
      <c r="E99" s="266"/>
      <c r="F99" s="868"/>
      <c r="G99" s="266"/>
      <c r="H99" s="266"/>
      <c r="I99" s="266"/>
      <c r="J99" s="266"/>
      <c r="K99" s="123"/>
      <c r="L99" s="123"/>
      <c r="M99" s="123"/>
      <c r="N99" s="123"/>
      <c r="O99" s="123"/>
      <c r="P99" s="123"/>
      <c r="Q99" s="266"/>
      <c r="R99" s="123"/>
      <c r="S99" s="266"/>
      <c r="T99" s="266"/>
      <c r="U99" s="266"/>
      <c r="V99" s="266"/>
      <c r="W99" s="266"/>
      <c r="X99" s="123"/>
      <c r="Y99" s="123"/>
      <c r="Z99" s="123"/>
      <c r="AA99" s="123"/>
      <c r="AB99" s="868"/>
      <c r="AC99" s="868"/>
      <c r="AD99" s="868"/>
      <c r="AE99" s="266"/>
      <c r="AF99" s="266"/>
      <c r="AG99" s="868"/>
      <c r="AH99" s="868"/>
      <c r="AI99" s="868"/>
      <c r="AJ99" s="266"/>
      <c r="AK99" s="266"/>
      <c r="AL99" s="868"/>
      <c r="AM99" s="266"/>
      <c r="AN99" s="868"/>
      <c r="AO99" s="868"/>
      <c r="AP99" s="266"/>
      <c r="AQ99" s="266"/>
    </row>
    <row r="100" spans="1:43" ht="15.75" x14ac:dyDescent="0.25">
      <c r="A100" s="266"/>
      <c r="B100" s="266"/>
      <c r="C100" s="266"/>
      <c r="D100" s="266"/>
      <c r="E100" s="266"/>
      <c r="F100" s="868"/>
      <c r="G100" s="266"/>
      <c r="H100" s="266"/>
      <c r="I100" s="266"/>
      <c r="J100" s="266"/>
      <c r="K100" s="123"/>
      <c r="L100" s="123"/>
      <c r="M100" s="123"/>
      <c r="N100" s="123"/>
      <c r="O100" s="123"/>
      <c r="P100" s="123"/>
      <c r="Q100" s="266"/>
      <c r="R100" s="123"/>
      <c r="S100" s="266"/>
      <c r="T100" s="266"/>
      <c r="U100" s="266"/>
      <c r="V100" s="266"/>
      <c r="W100" s="266"/>
      <c r="X100" s="123"/>
      <c r="Y100" s="123"/>
      <c r="Z100" s="123"/>
      <c r="AA100" s="123"/>
      <c r="AB100" s="868"/>
      <c r="AC100" s="868"/>
      <c r="AD100" s="868"/>
      <c r="AE100" s="266"/>
      <c r="AF100" s="266"/>
      <c r="AG100" s="868"/>
      <c r="AH100" s="868"/>
      <c r="AI100" s="868"/>
      <c r="AJ100" s="266"/>
      <c r="AK100" s="266"/>
      <c r="AL100" s="868"/>
      <c r="AM100" s="266"/>
      <c r="AN100" s="868"/>
      <c r="AO100" s="868"/>
      <c r="AP100" s="266"/>
      <c r="AQ100" s="266"/>
    </row>
    <row r="101" spans="1:43" ht="15.75" x14ac:dyDescent="0.25">
      <c r="A101" s="266"/>
      <c r="B101" s="266"/>
      <c r="C101" s="266"/>
      <c r="D101" s="266"/>
      <c r="E101" s="266"/>
      <c r="F101" s="868"/>
      <c r="G101" s="266"/>
      <c r="H101" s="266"/>
      <c r="I101" s="266"/>
      <c r="J101" s="266"/>
      <c r="K101" s="123"/>
      <c r="L101" s="123"/>
      <c r="M101" s="123"/>
      <c r="N101" s="123"/>
      <c r="O101" s="123"/>
      <c r="P101" s="123"/>
      <c r="Q101" s="266"/>
      <c r="R101" s="123"/>
      <c r="S101" s="266"/>
      <c r="T101" s="266"/>
      <c r="U101" s="266"/>
      <c r="V101" s="266"/>
      <c r="W101" s="266"/>
      <c r="X101" s="123"/>
      <c r="Y101" s="123"/>
      <c r="Z101" s="123"/>
      <c r="AA101" s="123"/>
      <c r="AB101" s="868"/>
      <c r="AC101" s="868"/>
      <c r="AD101" s="868"/>
      <c r="AE101" s="266"/>
      <c r="AF101" s="266"/>
      <c r="AG101" s="868"/>
      <c r="AH101" s="868"/>
      <c r="AI101" s="868"/>
      <c r="AJ101" s="266"/>
      <c r="AK101" s="266"/>
      <c r="AL101" s="868"/>
      <c r="AM101" s="266"/>
      <c r="AN101" s="868"/>
      <c r="AO101" s="868"/>
      <c r="AP101" s="266"/>
      <c r="AQ101" s="266"/>
    </row>
    <row r="102" spans="1:43" ht="15.75" x14ac:dyDescent="0.25">
      <c r="A102" s="266"/>
      <c r="B102" s="266"/>
      <c r="C102" s="266"/>
      <c r="D102" s="266"/>
      <c r="E102" s="266"/>
      <c r="F102" s="868"/>
      <c r="G102" s="266"/>
      <c r="H102" s="266"/>
      <c r="I102" s="266"/>
      <c r="J102" s="266"/>
      <c r="K102" s="123"/>
      <c r="L102" s="123"/>
      <c r="M102" s="123"/>
      <c r="N102" s="123"/>
      <c r="O102" s="123"/>
      <c r="P102" s="123"/>
      <c r="Q102" s="266"/>
      <c r="R102" s="123"/>
      <c r="S102" s="266"/>
      <c r="T102" s="266"/>
      <c r="U102" s="266"/>
      <c r="V102" s="266"/>
      <c r="W102" s="266"/>
      <c r="X102" s="123"/>
      <c r="Y102" s="123"/>
      <c r="Z102" s="123"/>
      <c r="AA102" s="123"/>
      <c r="AB102" s="868"/>
      <c r="AC102" s="868"/>
      <c r="AD102" s="868"/>
      <c r="AE102" s="266"/>
      <c r="AF102" s="266"/>
      <c r="AG102" s="868"/>
      <c r="AH102" s="868"/>
      <c r="AI102" s="868"/>
      <c r="AJ102" s="266"/>
      <c r="AK102" s="266"/>
      <c r="AL102" s="868"/>
      <c r="AM102" s="266"/>
      <c r="AN102" s="868"/>
      <c r="AO102" s="868"/>
      <c r="AP102" s="266"/>
      <c r="AQ102" s="266"/>
    </row>
    <row r="103" spans="1:43" ht="15.75" x14ac:dyDescent="0.25">
      <c r="A103" s="266"/>
      <c r="B103" s="266"/>
      <c r="C103" s="266"/>
      <c r="D103" s="266"/>
      <c r="E103" s="266"/>
      <c r="F103" s="868"/>
      <c r="G103" s="266"/>
      <c r="H103" s="266"/>
      <c r="I103" s="266"/>
      <c r="J103" s="266"/>
      <c r="K103" s="123"/>
      <c r="L103" s="123"/>
      <c r="M103" s="123"/>
      <c r="N103" s="123"/>
      <c r="O103" s="123"/>
      <c r="P103" s="123"/>
      <c r="Q103" s="266"/>
      <c r="R103" s="123"/>
      <c r="S103" s="266"/>
      <c r="T103" s="266"/>
      <c r="U103" s="266"/>
      <c r="V103" s="266"/>
      <c r="W103" s="266"/>
      <c r="X103" s="123"/>
      <c r="Y103" s="123"/>
      <c r="Z103" s="123"/>
      <c r="AA103" s="123"/>
      <c r="AB103" s="868"/>
      <c r="AC103" s="868"/>
      <c r="AD103" s="868"/>
      <c r="AE103" s="266"/>
      <c r="AF103" s="266"/>
      <c r="AG103" s="868"/>
      <c r="AH103" s="868"/>
      <c r="AI103" s="868"/>
      <c r="AJ103" s="266"/>
      <c r="AK103" s="266"/>
      <c r="AL103" s="868"/>
      <c r="AM103" s="266"/>
      <c r="AN103" s="868"/>
      <c r="AO103" s="868"/>
      <c r="AP103" s="266"/>
      <c r="AQ103" s="266"/>
    </row>
    <row r="104" spans="1:43" ht="15.75" x14ac:dyDescent="0.25">
      <c r="A104" s="266"/>
      <c r="B104" s="266"/>
      <c r="C104" s="266"/>
      <c r="D104" s="266"/>
      <c r="E104" s="266"/>
      <c r="F104" s="868"/>
      <c r="G104" s="266"/>
      <c r="H104" s="266"/>
      <c r="I104" s="266"/>
      <c r="J104" s="266"/>
      <c r="K104" s="123"/>
      <c r="L104" s="123"/>
      <c r="M104" s="123"/>
      <c r="N104" s="123"/>
      <c r="O104" s="123"/>
      <c r="P104" s="123"/>
      <c r="Q104" s="266"/>
      <c r="R104" s="123"/>
      <c r="S104" s="266"/>
      <c r="T104" s="266"/>
      <c r="U104" s="266"/>
      <c r="V104" s="266"/>
      <c r="W104" s="266"/>
      <c r="X104" s="123"/>
      <c r="Y104" s="123"/>
      <c r="Z104" s="123"/>
      <c r="AA104" s="123"/>
      <c r="AB104" s="868"/>
      <c r="AC104" s="868"/>
      <c r="AD104" s="868"/>
      <c r="AE104" s="266"/>
      <c r="AF104" s="266"/>
      <c r="AG104" s="868"/>
      <c r="AH104" s="868"/>
      <c r="AI104" s="868"/>
      <c r="AJ104" s="266"/>
      <c r="AK104" s="266"/>
      <c r="AL104" s="868"/>
      <c r="AM104" s="266"/>
      <c r="AN104" s="868"/>
      <c r="AO104" s="868"/>
      <c r="AP104" s="266"/>
      <c r="AQ104" s="266"/>
    </row>
    <row r="105" spans="1:43" ht="15.75" x14ac:dyDescent="0.25">
      <c r="A105" s="266"/>
      <c r="B105" s="266"/>
      <c r="C105" s="266"/>
      <c r="D105" s="266"/>
      <c r="E105" s="266"/>
      <c r="F105" s="868"/>
      <c r="G105" s="266"/>
      <c r="H105" s="266"/>
      <c r="I105" s="266"/>
      <c r="J105" s="266"/>
      <c r="K105" s="123"/>
      <c r="L105" s="123"/>
      <c r="M105" s="123"/>
      <c r="N105" s="123"/>
      <c r="O105" s="123"/>
      <c r="P105" s="123"/>
      <c r="Q105" s="266"/>
      <c r="R105" s="123"/>
      <c r="S105" s="266"/>
      <c r="T105" s="266"/>
      <c r="U105" s="266"/>
      <c r="V105" s="266"/>
      <c r="W105" s="266"/>
      <c r="X105" s="123"/>
      <c r="Y105" s="123"/>
      <c r="Z105" s="123"/>
      <c r="AA105" s="123"/>
      <c r="AB105" s="868"/>
      <c r="AC105" s="868"/>
      <c r="AD105" s="868"/>
      <c r="AE105" s="266"/>
      <c r="AF105" s="266"/>
      <c r="AG105" s="868"/>
      <c r="AH105" s="868"/>
      <c r="AI105" s="868"/>
      <c r="AJ105" s="266"/>
      <c r="AK105" s="266"/>
      <c r="AL105" s="868"/>
      <c r="AM105" s="266"/>
      <c r="AN105" s="868"/>
      <c r="AO105" s="868"/>
      <c r="AP105" s="266"/>
      <c r="AQ105" s="266"/>
    </row>
    <row r="106" spans="1:43" ht="15.75" x14ac:dyDescent="0.25">
      <c r="A106" s="266"/>
      <c r="B106" s="266"/>
      <c r="C106" s="266"/>
      <c r="D106" s="266"/>
      <c r="E106" s="266"/>
      <c r="F106" s="868"/>
      <c r="G106" s="266"/>
      <c r="H106" s="266"/>
      <c r="I106" s="266"/>
      <c r="J106" s="266"/>
      <c r="K106" s="123"/>
      <c r="L106" s="123"/>
      <c r="M106" s="123"/>
      <c r="N106" s="123"/>
      <c r="O106" s="123"/>
      <c r="P106" s="123"/>
      <c r="Q106" s="266"/>
      <c r="R106" s="123"/>
      <c r="S106" s="266"/>
      <c r="T106" s="266"/>
      <c r="U106" s="266"/>
      <c r="V106" s="266"/>
      <c r="W106" s="266"/>
      <c r="X106" s="123"/>
      <c r="Y106" s="123"/>
      <c r="Z106" s="123"/>
      <c r="AA106" s="123"/>
      <c r="AB106" s="868"/>
      <c r="AC106" s="868"/>
      <c r="AD106" s="868"/>
      <c r="AE106" s="266"/>
      <c r="AF106" s="266"/>
      <c r="AG106" s="868"/>
      <c r="AH106" s="868"/>
      <c r="AI106" s="868"/>
      <c r="AJ106" s="266"/>
      <c r="AK106" s="266"/>
      <c r="AL106" s="868"/>
      <c r="AM106" s="266"/>
      <c r="AN106" s="868"/>
      <c r="AO106" s="868"/>
      <c r="AP106" s="266"/>
      <c r="AQ106" s="266"/>
    </row>
    <row r="107" spans="1:43" ht="15.75" x14ac:dyDescent="0.25">
      <c r="A107" s="266"/>
      <c r="B107" s="266"/>
      <c r="C107" s="266"/>
      <c r="D107" s="266"/>
      <c r="E107" s="266"/>
      <c r="F107" s="868"/>
      <c r="G107" s="266"/>
      <c r="H107" s="266"/>
      <c r="I107" s="266"/>
      <c r="J107" s="266"/>
      <c r="K107" s="123"/>
      <c r="L107" s="123"/>
      <c r="M107" s="123"/>
      <c r="N107" s="123"/>
      <c r="O107" s="123"/>
      <c r="P107" s="123"/>
      <c r="Q107" s="266"/>
      <c r="R107" s="123"/>
      <c r="S107" s="266"/>
      <c r="T107" s="266"/>
      <c r="U107" s="266"/>
      <c r="V107" s="266"/>
      <c r="W107" s="266"/>
      <c r="X107" s="123"/>
      <c r="Y107" s="123"/>
      <c r="Z107" s="123"/>
      <c r="AA107" s="123"/>
      <c r="AB107" s="868"/>
      <c r="AC107" s="868"/>
      <c r="AD107" s="868"/>
      <c r="AE107" s="266"/>
      <c r="AF107" s="266"/>
      <c r="AG107" s="868"/>
      <c r="AH107" s="868"/>
      <c r="AI107" s="868"/>
      <c r="AJ107" s="266"/>
      <c r="AK107" s="266"/>
      <c r="AL107" s="868"/>
      <c r="AM107" s="266"/>
      <c r="AN107" s="868"/>
      <c r="AO107" s="868"/>
      <c r="AP107" s="266"/>
      <c r="AQ107" s="266"/>
    </row>
    <row r="108" spans="1:43" ht="15.75" x14ac:dyDescent="0.25">
      <c r="A108" s="266"/>
      <c r="B108" s="266"/>
      <c r="C108" s="266"/>
      <c r="D108" s="266"/>
      <c r="E108" s="266"/>
      <c r="F108" s="868"/>
      <c r="G108" s="266"/>
      <c r="H108" s="266"/>
      <c r="I108" s="266"/>
      <c r="J108" s="266"/>
      <c r="K108" s="123"/>
      <c r="L108" s="123"/>
      <c r="M108" s="123"/>
      <c r="N108" s="123"/>
      <c r="O108" s="123"/>
      <c r="P108" s="123"/>
      <c r="Q108" s="266"/>
      <c r="R108" s="123"/>
      <c r="S108" s="266"/>
      <c r="T108" s="266"/>
      <c r="U108" s="266"/>
      <c r="V108" s="266"/>
      <c r="W108" s="266"/>
      <c r="X108" s="123"/>
      <c r="Y108" s="123"/>
      <c r="Z108" s="123"/>
      <c r="AA108" s="123"/>
      <c r="AB108" s="868"/>
      <c r="AC108" s="868"/>
      <c r="AD108" s="868"/>
      <c r="AE108" s="266"/>
      <c r="AF108" s="266"/>
      <c r="AG108" s="868"/>
      <c r="AH108" s="868"/>
      <c r="AI108" s="868"/>
      <c r="AJ108" s="266"/>
      <c r="AK108" s="266"/>
      <c r="AL108" s="868"/>
      <c r="AM108" s="266"/>
      <c r="AN108" s="868"/>
      <c r="AO108" s="868"/>
      <c r="AP108" s="266"/>
      <c r="AQ108" s="266"/>
    </row>
    <row r="109" spans="1:43" ht="15.75" x14ac:dyDescent="0.25">
      <c r="A109" s="266"/>
      <c r="B109" s="266"/>
      <c r="C109" s="266"/>
      <c r="D109" s="266"/>
      <c r="E109" s="266"/>
      <c r="F109" s="868"/>
      <c r="G109" s="266"/>
      <c r="H109" s="266"/>
      <c r="I109" s="266"/>
      <c r="J109" s="266"/>
      <c r="K109" s="123"/>
      <c r="L109" s="123"/>
      <c r="M109" s="123"/>
      <c r="N109" s="123"/>
      <c r="O109" s="123"/>
      <c r="P109" s="123"/>
      <c r="Q109" s="266"/>
      <c r="R109" s="123"/>
      <c r="S109" s="266"/>
      <c r="T109" s="266"/>
      <c r="U109" s="266"/>
      <c r="V109" s="266"/>
      <c r="W109" s="266"/>
      <c r="X109" s="123"/>
      <c r="Y109" s="123"/>
      <c r="Z109" s="123"/>
      <c r="AA109" s="123"/>
      <c r="AB109" s="868"/>
      <c r="AC109" s="868"/>
      <c r="AD109" s="868"/>
      <c r="AE109" s="266"/>
      <c r="AF109" s="266"/>
      <c r="AG109" s="868"/>
      <c r="AH109" s="868"/>
      <c r="AI109" s="868"/>
      <c r="AJ109" s="266"/>
      <c r="AK109" s="266"/>
      <c r="AL109" s="868"/>
      <c r="AM109" s="266"/>
      <c r="AN109" s="868"/>
      <c r="AO109" s="868"/>
      <c r="AP109" s="266"/>
      <c r="AQ109" s="266"/>
    </row>
    <row r="110" spans="1:43" ht="15.75" x14ac:dyDescent="0.25">
      <c r="A110" s="266"/>
      <c r="B110" s="266"/>
      <c r="C110" s="266"/>
      <c r="D110" s="266"/>
      <c r="E110" s="266"/>
      <c r="F110" s="868"/>
      <c r="G110" s="266"/>
      <c r="H110" s="266"/>
      <c r="I110" s="266"/>
      <c r="J110" s="266"/>
      <c r="K110" s="123"/>
      <c r="L110" s="123"/>
      <c r="M110" s="123"/>
      <c r="N110" s="123"/>
      <c r="O110" s="123"/>
      <c r="P110" s="123"/>
      <c r="Q110" s="266"/>
      <c r="R110" s="123"/>
      <c r="S110" s="266"/>
      <c r="T110" s="266"/>
      <c r="U110" s="266"/>
      <c r="V110" s="266"/>
      <c r="W110" s="266"/>
      <c r="X110" s="123"/>
      <c r="Y110" s="123"/>
      <c r="Z110" s="123"/>
      <c r="AA110" s="123"/>
      <c r="AB110" s="868"/>
      <c r="AC110" s="868"/>
      <c r="AD110" s="868"/>
      <c r="AE110" s="266"/>
      <c r="AF110" s="266"/>
      <c r="AG110" s="868"/>
      <c r="AH110" s="868"/>
      <c r="AI110" s="868"/>
      <c r="AJ110" s="266"/>
      <c r="AK110" s="266"/>
      <c r="AL110" s="868"/>
      <c r="AM110" s="266"/>
      <c r="AN110" s="868"/>
      <c r="AO110" s="868"/>
      <c r="AP110" s="266"/>
      <c r="AQ110" s="266"/>
    </row>
    <row r="111" spans="1:43" ht="15.75" x14ac:dyDescent="0.25">
      <c r="A111" s="266"/>
      <c r="B111" s="266"/>
      <c r="C111" s="266"/>
      <c r="D111" s="266"/>
      <c r="E111" s="266"/>
      <c r="F111" s="868"/>
      <c r="G111" s="266"/>
      <c r="H111" s="266"/>
      <c r="I111" s="266"/>
      <c r="J111" s="266"/>
      <c r="K111" s="123"/>
      <c r="L111" s="123"/>
      <c r="M111" s="123"/>
      <c r="N111" s="123"/>
      <c r="O111" s="123"/>
      <c r="P111" s="123"/>
      <c r="Q111" s="266"/>
      <c r="R111" s="123"/>
      <c r="S111" s="266"/>
      <c r="T111" s="266"/>
      <c r="U111" s="266"/>
      <c r="V111" s="266"/>
      <c r="W111" s="266"/>
      <c r="X111" s="123"/>
      <c r="Y111" s="123"/>
      <c r="Z111" s="123"/>
      <c r="AA111" s="123"/>
      <c r="AB111" s="868"/>
      <c r="AC111" s="868"/>
      <c r="AD111" s="868"/>
      <c r="AE111" s="266"/>
      <c r="AF111" s="266"/>
      <c r="AG111" s="868"/>
      <c r="AH111" s="868"/>
      <c r="AI111" s="868"/>
      <c r="AJ111" s="266"/>
      <c r="AK111" s="266"/>
      <c r="AL111" s="868"/>
      <c r="AM111" s="266"/>
      <c r="AN111" s="868"/>
      <c r="AO111" s="868"/>
      <c r="AP111" s="266"/>
      <c r="AQ111" s="266"/>
    </row>
    <row r="112" spans="1:43" ht="15.75" x14ac:dyDescent="0.25">
      <c r="A112" s="266"/>
      <c r="B112" s="266"/>
      <c r="C112" s="266"/>
      <c r="D112" s="266"/>
      <c r="E112" s="266"/>
      <c r="F112" s="868"/>
      <c r="G112" s="266"/>
      <c r="H112" s="266"/>
      <c r="I112" s="266"/>
      <c r="J112" s="266"/>
      <c r="K112" s="123"/>
      <c r="L112" s="123"/>
      <c r="M112" s="123"/>
      <c r="N112" s="123"/>
      <c r="O112" s="123"/>
      <c r="P112" s="123"/>
      <c r="Q112" s="266"/>
      <c r="R112" s="123"/>
      <c r="S112" s="266"/>
      <c r="T112" s="266"/>
      <c r="U112" s="266"/>
      <c r="V112" s="266"/>
      <c r="W112" s="266"/>
      <c r="X112" s="123"/>
      <c r="Y112" s="123"/>
      <c r="Z112" s="123"/>
      <c r="AA112" s="123"/>
      <c r="AB112" s="868"/>
      <c r="AC112" s="868"/>
      <c r="AD112" s="868"/>
      <c r="AE112" s="266"/>
      <c r="AF112" s="266"/>
      <c r="AG112" s="868"/>
      <c r="AH112" s="868"/>
      <c r="AI112" s="868"/>
      <c r="AJ112" s="266"/>
      <c r="AK112" s="266"/>
      <c r="AL112" s="868"/>
      <c r="AM112" s="266"/>
      <c r="AN112" s="868"/>
      <c r="AO112" s="868"/>
      <c r="AP112" s="266"/>
      <c r="AQ112" s="266"/>
    </row>
    <row r="113" spans="1:43" ht="15.75" x14ac:dyDescent="0.25">
      <c r="A113" s="266"/>
      <c r="B113" s="266"/>
      <c r="C113" s="266"/>
      <c r="D113" s="266"/>
      <c r="E113" s="266"/>
      <c r="F113" s="868"/>
      <c r="G113" s="266"/>
      <c r="H113" s="266"/>
      <c r="I113" s="266"/>
      <c r="J113" s="266"/>
      <c r="K113" s="123"/>
      <c r="L113" s="123"/>
      <c r="M113" s="123"/>
      <c r="N113" s="123"/>
      <c r="O113" s="123"/>
      <c r="P113" s="123"/>
      <c r="Q113" s="266"/>
      <c r="R113" s="123"/>
      <c r="S113" s="266"/>
      <c r="T113" s="266"/>
      <c r="U113" s="266"/>
      <c r="V113" s="266"/>
      <c r="W113" s="266"/>
      <c r="X113" s="123"/>
      <c r="Y113" s="123"/>
      <c r="Z113" s="123"/>
      <c r="AA113" s="123"/>
      <c r="AB113" s="868"/>
      <c r="AC113" s="868"/>
      <c r="AD113" s="868"/>
      <c r="AE113" s="266"/>
      <c r="AF113" s="266"/>
      <c r="AG113" s="868"/>
      <c r="AH113" s="868"/>
      <c r="AI113" s="868"/>
      <c r="AJ113" s="266"/>
      <c r="AK113" s="266"/>
      <c r="AL113" s="868"/>
      <c r="AM113" s="266"/>
      <c r="AN113" s="868"/>
      <c r="AO113" s="868"/>
      <c r="AP113" s="266"/>
      <c r="AQ113" s="266"/>
    </row>
    <row r="114" spans="1:43" ht="15.75" x14ac:dyDescent="0.25">
      <c r="A114" s="266"/>
      <c r="B114" s="266"/>
      <c r="C114" s="266"/>
      <c r="D114" s="266"/>
      <c r="E114" s="266"/>
      <c r="F114" s="868"/>
      <c r="G114" s="266"/>
      <c r="H114" s="266"/>
      <c r="I114" s="266"/>
      <c r="J114" s="266"/>
      <c r="K114" s="123"/>
      <c r="L114" s="123"/>
      <c r="M114" s="123"/>
      <c r="N114" s="123"/>
      <c r="O114" s="123"/>
      <c r="P114" s="123"/>
      <c r="Q114" s="266"/>
      <c r="R114" s="123"/>
      <c r="S114" s="266"/>
      <c r="T114" s="266"/>
      <c r="U114" s="266"/>
      <c r="V114" s="266"/>
      <c r="W114" s="266"/>
      <c r="X114" s="123"/>
      <c r="Y114" s="123"/>
      <c r="Z114" s="123"/>
      <c r="AA114" s="123"/>
      <c r="AB114" s="868"/>
      <c r="AC114" s="868"/>
      <c r="AD114" s="868"/>
      <c r="AE114" s="266"/>
      <c r="AF114" s="266"/>
      <c r="AG114" s="868"/>
      <c r="AH114" s="868"/>
      <c r="AI114" s="868"/>
      <c r="AJ114" s="266"/>
      <c r="AK114" s="266"/>
      <c r="AL114" s="868"/>
      <c r="AM114" s="266"/>
      <c r="AN114" s="868"/>
      <c r="AO114" s="868"/>
      <c r="AP114" s="266"/>
      <c r="AQ114" s="266"/>
    </row>
    <row r="115" spans="1:43" ht="15.75" x14ac:dyDescent="0.25">
      <c r="A115" s="266"/>
      <c r="B115" s="266"/>
      <c r="C115" s="266"/>
      <c r="D115" s="266"/>
      <c r="E115" s="266"/>
      <c r="F115" s="868"/>
      <c r="G115" s="266"/>
      <c r="H115" s="266"/>
      <c r="I115" s="266"/>
      <c r="J115" s="266"/>
      <c r="K115" s="123"/>
      <c r="L115" s="123"/>
      <c r="M115" s="123"/>
      <c r="N115" s="123"/>
      <c r="O115" s="123"/>
      <c r="P115" s="123"/>
      <c r="Q115" s="266"/>
      <c r="R115" s="123"/>
      <c r="S115" s="266"/>
      <c r="T115" s="266"/>
      <c r="U115" s="266"/>
      <c r="V115" s="266"/>
      <c r="W115" s="266"/>
      <c r="X115" s="123"/>
      <c r="Y115" s="123"/>
      <c r="Z115" s="123"/>
      <c r="AA115" s="123"/>
      <c r="AB115" s="868"/>
      <c r="AC115" s="868"/>
      <c r="AD115" s="868"/>
      <c r="AE115" s="266"/>
      <c r="AF115" s="266"/>
      <c r="AG115" s="868"/>
      <c r="AH115" s="868"/>
      <c r="AI115" s="868"/>
      <c r="AJ115" s="266"/>
      <c r="AK115" s="266"/>
      <c r="AL115" s="868"/>
      <c r="AM115" s="266"/>
      <c r="AN115" s="868"/>
      <c r="AO115" s="868"/>
      <c r="AP115" s="266"/>
      <c r="AQ115" s="266"/>
    </row>
    <row r="116" spans="1:43" ht="15.75" x14ac:dyDescent="0.25">
      <c r="A116" s="266"/>
      <c r="B116" s="266"/>
      <c r="C116" s="266"/>
      <c r="D116" s="266"/>
      <c r="E116" s="266"/>
      <c r="F116" s="868"/>
      <c r="G116" s="266"/>
      <c r="H116" s="266"/>
      <c r="I116" s="266"/>
      <c r="J116" s="266"/>
      <c r="K116" s="123"/>
      <c r="L116" s="123"/>
      <c r="M116" s="123"/>
      <c r="N116" s="123"/>
      <c r="O116" s="123"/>
      <c r="P116" s="123"/>
      <c r="Q116" s="266"/>
      <c r="R116" s="123"/>
      <c r="S116" s="266"/>
      <c r="T116" s="266"/>
      <c r="U116" s="266"/>
      <c r="V116" s="266"/>
      <c r="W116" s="266"/>
      <c r="X116" s="123"/>
      <c r="Y116" s="123"/>
      <c r="Z116" s="123"/>
      <c r="AA116" s="123"/>
      <c r="AB116" s="868"/>
      <c r="AC116" s="868"/>
      <c r="AD116" s="868"/>
      <c r="AE116" s="266"/>
      <c r="AF116" s="266"/>
      <c r="AG116" s="868"/>
      <c r="AH116" s="868"/>
      <c r="AI116" s="868"/>
      <c r="AJ116" s="266"/>
      <c r="AK116" s="266"/>
      <c r="AL116" s="868"/>
      <c r="AM116" s="266"/>
      <c r="AN116" s="868"/>
      <c r="AO116" s="868"/>
      <c r="AP116" s="266"/>
      <c r="AQ116" s="266"/>
    </row>
    <row r="117" spans="1:43" ht="15.75" x14ac:dyDescent="0.25">
      <c r="A117" s="266"/>
      <c r="B117" s="266"/>
      <c r="C117" s="266"/>
      <c r="D117" s="266"/>
      <c r="E117" s="266"/>
      <c r="F117" s="868"/>
      <c r="G117" s="266"/>
      <c r="H117" s="266"/>
      <c r="I117" s="266"/>
      <c r="J117" s="266"/>
      <c r="K117" s="123"/>
      <c r="L117" s="123"/>
      <c r="M117" s="123"/>
      <c r="N117" s="123"/>
      <c r="O117" s="123"/>
      <c r="P117" s="123"/>
      <c r="Q117" s="266"/>
      <c r="R117" s="123"/>
      <c r="S117" s="266"/>
      <c r="T117" s="266"/>
      <c r="U117" s="266"/>
      <c r="V117" s="266"/>
      <c r="W117" s="266"/>
      <c r="X117" s="123"/>
      <c r="Y117" s="123"/>
      <c r="Z117" s="123"/>
      <c r="AA117" s="123"/>
      <c r="AB117" s="868"/>
      <c r="AC117" s="868"/>
      <c r="AD117" s="868"/>
      <c r="AE117" s="266"/>
      <c r="AF117" s="266"/>
      <c r="AG117" s="868"/>
      <c r="AH117" s="868"/>
      <c r="AI117" s="868"/>
      <c r="AJ117" s="266"/>
      <c r="AK117" s="266"/>
      <c r="AL117" s="868"/>
      <c r="AM117" s="266"/>
      <c r="AN117" s="868"/>
      <c r="AO117" s="868"/>
      <c r="AP117" s="266"/>
      <c r="AQ117" s="266"/>
    </row>
    <row r="118" spans="1:43" ht="15.75" x14ac:dyDescent="0.25">
      <c r="A118" s="266"/>
      <c r="B118" s="266"/>
      <c r="C118" s="266"/>
      <c r="D118" s="266"/>
      <c r="E118" s="266"/>
      <c r="F118" s="868"/>
      <c r="G118" s="266"/>
      <c r="H118" s="266"/>
      <c r="I118" s="266"/>
      <c r="J118" s="266"/>
      <c r="K118" s="123"/>
      <c r="L118" s="123"/>
      <c r="M118" s="123"/>
      <c r="N118" s="123"/>
      <c r="O118" s="123"/>
      <c r="P118" s="123"/>
      <c r="Q118" s="266"/>
      <c r="R118" s="123"/>
      <c r="S118" s="266"/>
      <c r="T118" s="266"/>
      <c r="U118" s="266"/>
      <c r="V118" s="266"/>
      <c r="W118" s="266"/>
      <c r="X118" s="123"/>
      <c r="Y118" s="123"/>
      <c r="Z118" s="123"/>
      <c r="AA118" s="123"/>
      <c r="AB118" s="868"/>
      <c r="AC118" s="868"/>
      <c r="AD118" s="868"/>
      <c r="AE118" s="266"/>
      <c r="AF118" s="266"/>
      <c r="AG118" s="868"/>
      <c r="AH118" s="868"/>
      <c r="AI118" s="868"/>
      <c r="AJ118" s="266"/>
      <c r="AK118" s="266"/>
      <c r="AL118" s="868"/>
      <c r="AM118" s="266"/>
      <c r="AN118" s="868"/>
      <c r="AO118" s="868"/>
      <c r="AP118" s="266"/>
      <c r="AQ118" s="266"/>
    </row>
    <row r="119" spans="1:43" ht="15.75" x14ac:dyDescent="0.25">
      <c r="A119" s="266"/>
      <c r="B119" s="266"/>
      <c r="C119" s="266"/>
      <c r="D119" s="266"/>
      <c r="E119" s="266"/>
      <c r="F119" s="868"/>
      <c r="G119" s="266"/>
      <c r="H119" s="266"/>
      <c r="I119" s="266"/>
      <c r="J119" s="266"/>
      <c r="K119" s="123"/>
      <c r="L119" s="123"/>
      <c r="M119" s="123"/>
      <c r="N119" s="123"/>
      <c r="O119" s="123"/>
      <c r="P119" s="123"/>
      <c r="Q119" s="266"/>
      <c r="R119" s="123"/>
      <c r="S119" s="266"/>
      <c r="T119" s="266"/>
      <c r="U119" s="266"/>
      <c r="V119" s="266"/>
      <c r="W119" s="266"/>
      <c r="X119" s="123"/>
      <c r="Y119" s="123"/>
      <c r="Z119" s="123"/>
      <c r="AA119" s="123"/>
      <c r="AB119" s="868"/>
      <c r="AC119" s="868"/>
      <c r="AD119" s="868"/>
      <c r="AE119" s="266"/>
      <c r="AF119" s="266"/>
      <c r="AG119" s="868"/>
      <c r="AH119" s="868"/>
      <c r="AI119" s="868"/>
      <c r="AJ119" s="266"/>
      <c r="AK119" s="266"/>
      <c r="AL119" s="868"/>
      <c r="AM119" s="266"/>
      <c r="AN119" s="868"/>
      <c r="AO119" s="868"/>
      <c r="AP119" s="266"/>
      <c r="AQ119" s="266"/>
    </row>
    <row r="120" spans="1:43" ht="15.75" x14ac:dyDescent="0.25">
      <c r="A120" s="266"/>
      <c r="B120" s="266"/>
      <c r="C120" s="266"/>
      <c r="D120" s="266"/>
      <c r="E120" s="266"/>
      <c r="F120" s="868"/>
      <c r="G120" s="266"/>
      <c r="H120" s="266"/>
      <c r="I120" s="266"/>
      <c r="J120" s="266"/>
      <c r="K120" s="123"/>
      <c r="L120" s="123"/>
      <c r="M120" s="123"/>
      <c r="N120" s="123"/>
      <c r="O120" s="123"/>
      <c r="P120" s="123"/>
      <c r="Q120" s="266"/>
      <c r="R120" s="123"/>
      <c r="S120" s="266"/>
      <c r="T120" s="266"/>
      <c r="U120" s="266"/>
      <c r="V120" s="266"/>
      <c r="W120" s="266"/>
      <c r="X120" s="123"/>
      <c r="Y120" s="123"/>
      <c r="Z120" s="123"/>
      <c r="AA120" s="123"/>
      <c r="AB120" s="868"/>
      <c r="AC120" s="868"/>
      <c r="AD120" s="868"/>
      <c r="AE120" s="266"/>
      <c r="AF120" s="266"/>
      <c r="AG120" s="868"/>
      <c r="AH120" s="868"/>
      <c r="AI120" s="868"/>
      <c r="AJ120" s="266"/>
      <c r="AK120" s="266"/>
      <c r="AL120" s="868"/>
      <c r="AM120" s="266"/>
      <c r="AN120" s="868"/>
      <c r="AO120" s="868"/>
      <c r="AP120" s="266"/>
      <c r="AQ120" s="266"/>
    </row>
    <row r="121" spans="1:43" ht="15.75" x14ac:dyDescent="0.25">
      <c r="A121" s="266"/>
      <c r="B121" s="266"/>
      <c r="C121" s="266"/>
      <c r="D121" s="266"/>
      <c r="E121" s="266"/>
      <c r="F121" s="868"/>
      <c r="G121" s="266"/>
      <c r="H121" s="266"/>
      <c r="I121" s="266"/>
      <c r="J121" s="266"/>
      <c r="K121" s="123"/>
      <c r="L121" s="123"/>
      <c r="M121" s="123"/>
      <c r="N121" s="123"/>
      <c r="O121" s="123"/>
      <c r="P121" s="123"/>
      <c r="Q121" s="266"/>
      <c r="R121" s="123"/>
      <c r="S121" s="266"/>
      <c r="T121" s="266"/>
      <c r="U121" s="266"/>
      <c r="V121" s="266"/>
      <c r="W121" s="266"/>
      <c r="X121" s="123"/>
      <c r="Y121" s="123"/>
      <c r="Z121" s="123"/>
      <c r="AA121" s="123"/>
      <c r="AB121" s="868"/>
      <c r="AC121" s="868"/>
      <c r="AD121" s="868"/>
      <c r="AE121" s="266"/>
      <c r="AF121" s="266"/>
      <c r="AG121" s="868"/>
      <c r="AH121" s="868"/>
      <c r="AI121" s="868"/>
      <c r="AJ121" s="266"/>
      <c r="AK121" s="266"/>
      <c r="AL121" s="868"/>
      <c r="AM121" s="266"/>
      <c r="AN121" s="868"/>
      <c r="AO121" s="868"/>
      <c r="AP121" s="266"/>
      <c r="AQ121" s="266"/>
    </row>
    <row r="122" spans="1:43" ht="15.75" x14ac:dyDescent="0.25">
      <c r="A122" s="266"/>
      <c r="B122" s="266"/>
      <c r="C122" s="266"/>
      <c r="D122" s="266"/>
      <c r="E122" s="266"/>
      <c r="F122" s="868"/>
      <c r="G122" s="266"/>
      <c r="H122" s="266"/>
      <c r="I122" s="266"/>
      <c r="J122" s="266"/>
      <c r="K122" s="123"/>
      <c r="L122" s="123"/>
      <c r="M122" s="123"/>
      <c r="N122" s="123"/>
      <c r="O122" s="123"/>
      <c r="P122" s="123"/>
      <c r="Q122" s="266"/>
      <c r="R122" s="123"/>
      <c r="S122" s="266"/>
      <c r="T122" s="266"/>
      <c r="U122" s="266"/>
      <c r="V122" s="266"/>
      <c r="W122" s="266"/>
      <c r="X122" s="123"/>
      <c r="Y122" s="123"/>
      <c r="Z122" s="123"/>
      <c r="AA122" s="123"/>
      <c r="AB122" s="868"/>
      <c r="AC122" s="868"/>
      <c r="AD122" s="868"/>
      <c r="AE122" s="266"/>
      <c r="AF122" s="266"/>
      <c r="AG122" s="868"/>
      <c r="AH122" s="868"/>
      <c r="AI122" s="868"/>
      <c r="AJ122" s="266"/>
      <c r="AK122" s="266"/>
      <c r="AL122" s="868"/>
      <c r="AM122" s="266"/>
      <c r="AN122" s="868"/>
      <c r="AO122" s="868"/>
      <c r="AP122" s="266"/>
      <c r="AQ122" s="266"/>
    </row>
    <row r="123" spans="1:43" ht="15.75" x14ac:dyDescent="0.25">
      <c r="A123" s="266"/>
      <c r="B123" s="266"/>
      <c r="C123" s="266"/>
      <c r="D123" s="266"/>
      <c r="E123" s="266"/>
      <c r="F123" s="868"/>
      <c r="G123" s="266"/>
      <c r="H123" s="266"/>
      <c r="I123" s="266"/>
      <c r="J123" s="266"/>
      <c r="K123" s="123"/>
      <c r="L123" s="123"/>
      <c r="M123" s="123"/>
      <c r="N123" s="123"/>
      <c r="O123" s="123"/>
      <c r="P123" s="123"/>
      <c r="Q123" s="266"/>
      <c r="R123" s="123"/>
      <c r="S123" s="266"/>
      <c r="T123" s="266"/>
      <c r="U123" s="266"/>
      <c r="V123" s="266"/>
      <c r="W123" s="266"/>
      <c r="X123" s="123"/>
      <c r="Y123" s="123"/>
      <c r="Z123" s="123"/>
      <c r="AA123" s="123"/>
      <c r="AB123" s="868"/>
      <c r="AC123" s="868"/>
      <c r="AD123" s="868"/>
      <c r="AE123" s="266"/>
      <c r="AF123" s="266"/>
      <c r="AG123" s="868"/>
      <c r="AH123" s="868"/>
      <c r="AI123" s="868"/>
      <c r="AJ123" s="266"/>
      <c r="AK123" s="266"/>
      <c r="AL123" s="868"/>
      <c r="AM123" s="266"/>
      <c r="AN123" s="868"/>
      <c r="AO123" s="868"/>
      <c r="AP123" s="266"/>
      <c r="AQ123" s="266"/>
    </row>
    <row r="124" spans="1:43" ht="15.75" x14ac:dyDescent="0.25">
      <c r="A124" s="266"/>
      <c r="B124" s="266"/>
      <c r="C124" s="266"/>
      <c r="D124" s="266"/>
      <c r="E124" s="266"/>
      <c r="F124" s="868"/>
      <c r="G124" s="266"/>
      <c r="H124" s="266"/>
      <c r="I124" s="266"/>
      <c r="J124" s="266"/>
      <c r="K124" s="123"/>
      <c r="L124" s="123"/>
      <c r="M124" s="123"/>
      <c r="N124" s="123"/>
      <c r="O124" s="123"/>
      <c r="P124" s="123"/>
      <c r="Q124" s="266"/>
      <c r="R124" s="123"/>
      <c r="S124" s="266"/>
      <c r="T124" s="266"/>
      <c r="U124" s="266"/>
      <c r="V124" s="266"/>
      <c r="W124" s="266"/>
      <c r="X124" s="123"/>
      <c r="Y124" s="123"/>
      <c r="Z124" s="123"/>
      <c r="AA124" s="123"/>
      <c r="AB124" s="868"/>
      <c r="AC124" s="868"/>
      <c r="AD124" s="868"/>
      <c r="AE124" s="266"/>
      <c r="AF124" s="266"/>
      <c r="AG124" s="868"/>
      <c r="AH124" s="868"/>
      <c r="AI124" s="868"/>
      <c r="AJ124" s="266"/>
      <c r="AK124" s="266"/>
      <c r="AL124" s="868"/>
      <c r="AM124" s="266"/>
      <c r="AN124" s="868"/>
      <c r="AO124" s="868"/>
      <c r="AP124" s="266"/>
      <c r="AQ124" s="266"/>
    </row>
    <row r="125" spans="1:43" ht="15.75" x14ac:dyDescent="0.25">
      <c r="A125" s="266"/>
      <c r="B125" s="266"/>
      <c r="C125" s="266"/>
      <c r="D125" s="266"/>
      <c r="E125" s="266"/>
      <c r="F125" s="868"/>
      <c r="G125" s="266"/>
      <c r="H125" s="266"/>
      <c r="I125" s="266"/>
      <c r="J125" s="266"/>
      <c r="K125" s="123"/>
      <c r="L125" s="123"/>
      <c r="M125" s="123"/>
      <c r="N125" s="123"/>
      <c r="O125" s="123"/>
      <c r="P125" s="123"/>
      <c r="Q125" s="266"/>
      <c r="R125" s="123"/>
      <c r="S125" s="266"/>
      <c r="T125" s="266"/>
      <c r="U125" s="266"/>
      <c r="V125" s="266"/>
      <c r="W125" s="266"/>
      <c r="X125" s="123"/>
      <c r="Y125" s="123"/>
      <c r="Z125" s="123"/>
      <c r="AA125" s="123"/>
      <c r="AB125" s="868"/>
      <c r="AC125" s="868"/>
      <c r="AD125" s="868"/>
      <c r="AE125" s="266"/>
      <c r="AF125" s="266"/>
      <c r="AG125" s="868"/>
      <c r="AH125" s="868"/>
      <c r="AI125" s="868"/>
      <c r="AJ125" s="266"/>
      <c r="AK125" s="266"/>
      <c r="AL125" s="868"/>
      <c r="AM125" s="266"/>
      <c r="AN125" s="868"/>
      <c r="AO125" s="868"/>
      <c r="AP125" s="266"/>
      <c r="AQ125" s="266"/>
    </row>
    <row r="126" spans="1:43" ht="15.75" x14ac:dyDescent="0.25">
      <c r="A126" s="266"/>
      <c r="B126" s="266"/>
      <c r="C126" s="266"/>
      <c r="D126" s="266"/>
      <c r="E126" s="266"/>
      <c r="F126" s="868"/>
      <c r="G126" s="266"/>
      <c r="H126" s="266"/>
      <c r="I126" s="266"/>
      <c r="J126" s="266"/>
      <c r="K126" s="123"/>
      <c r="L126" s="123"/>
      <c r="M126" s="123"/>
      <c r="N126" s="123"/>
      <c r="O126" s="123"/>
      <c r="P126" s="123"/>
      <c r="Q126" s="266"/>
      <c r="R126" s="123"/>
      <c r="S126" s="266"/>
      <c r="T126" s="266"/>
      <c r="U126" s="266"/>
      <c r="V126" s="266"/>
      <c r="W126" s="266"/>
      <c r="X126" s="123"/>
      <c r="Y126" s="123"/>
      <c r="Z126" s="123"/>
      <c r="AA126" s="123"/>
      <c r="AB126" s="868"/>
      <c r="AC126" s="868"/>
      <c r="AD126" s="868"/>
      <c r="AE126" s="266"/>
      <c r="AF126" s="266"/>
      <c r="AG126" s="868"/>
      <c r="AH126" s="868"/>
      <c r="AI126" s="868"/>
      <c r="AJ126" s="266"/>
      <c r="AK126" s="266"/>
      <c r="AL126" s="868"/>
      <c r="AM126" s="266"/>
      <c r="AN126" s="868"/>
      <c r="AO126" s="868"/>
      <c r="AP126" s="266"/>
      <c r="AQ126" s="266"/>
    </row>
    <row r="127" spans="1:43" ht="15.75" x14ac:dyDescent="0.25">
      <c r="A127" s="266"/>
      <c r="B127" s="266"/>
      <c r="C127" s="266"/>
      <c r="D127" s="266"/>
      <c r="E127" s="266"/>
      <c r="F127" s="868"/>
      <c r="G127" s="266"/>
      <c r="H127" s="266"/>
      <c r="I127" s="266"/>
      <c r="J127" s="266"/>
      <c r="K127" s="123"/>
      <c r="L127" s="123"/>
      <c r="M127" s="123"/>
      <c r="N127" s="123"/>
      <c r="O127" s="123"/>
      <c r="P127" s="123"/>
      <c r="Q127" s="266"/>
      <c r="R127" s="123"/>
      <c r="S127" s="266"/>
      <c r="T127" s="266"/>
      <c r="U127" s="266"/>
      <c r="V127" s="266"/>
      <c r="W127" s="266"/>
      <c r="X127" s="123"/>
      <c r="Y127" s="123"/>
      <c r="Z127" s="123"/>
      <c r="AA127" s="123"/>
      <c r="AB127" s="868"/>
      <c r="AC127" s="868"/>
      <c r="AD127" s="868"/>
      <c r="AE127" s="266"/>
      <c r="AF127" s="266"/>
      <c r="AG127" s="868"/>
      <c r="AH127" s="868"/>
      <c r="AI127" s="868"/>
      <c r="AJ127" s="266"/>
      <c r="AK127" s="266"/>
      <c r="AL127" s="868"/>
      <c r="AM127" s="266"/>
      <c r="AN127" s="868"/>
      <c r="AO127" s="868"/>
      <c r="AP127" s="266"/>
      <c r="AQ127" s="266"/>
    </row>
    <row r="128" spans="1:43" ht="15.75" x14ac:dyDescent="0.25">
      <c r="A128" s="266"/>
      <c r="B128" s="266"/>
      <c r="C128" s="266"/>
      <c r="D128" s="266"/>
      <c r="E128" s="266"/>
      <c r="F128" s="868"/>
      <c r="G128" s="266"/>
      <c r="H128" s="266"/>
      <c r="I128" s="266"/>
      <c r="J128" s="266"/>
      <c r="K128" s="123"/>
      <c r="L128" s="123"/>
      <c r="M128" s="123"/>
      <c r="N128" s="123"/>
      <c r="O128" s="123"/>
      <c r="P128" s="123"/>
      <c r="Q128" s="266"/>
      <c r="R128" s="123"/>
      <c r="S128" s="266"/>
      <c r="T128" s="266"/>
      <c r="U128" s="266"/>
      <c r="V128" s="266"/>
      <c r="W128" s="266"/>
      <c r="X128" s="123"/>
      <c r="Y128" s="123"/>
      <c r="Z128" s="123"/>
      <c r="AA128" s="123"/>
      <c r="AB128" s="868"/>
      <c r="AC128" s="868"/>
      <c r="AD128" s="868"/>
      <c r="AE128" s="266"/>
      <c r="AF128" s="266"/>
      <c r="AG128" s="868"/>
      <c r="AH128" s="868"/>
      <c r="AI128" s="868"/>
      <c r="AJ128" s="266"/>
      <c r="AK128" s="266"/>
      <c r="AL128" s="868"/>
      <c r="AM128" s="266"/>
      <c r="AN128" s="868"/>
      <c r="AO128" s="868"/>
      <c r="AP128" s="266"/>
      <c r="AQ128" s="266"/>
    </row>
    <row r="129" spans="1:43" ht="15.75" x14ac:dyDescent="0.25">
      <c r="A129" s="266"/>
      <c r="B129" s="266"/>
      <c r="C129" s="266"/>
      <c r="D129" s="266"/>
      <c r="E129" s="266"/>
      <c r="F129" s="868"/>
      <c r="G129" s="266"/>
      <c r="H129" s="266"/>
      <c r="I129" s="266"/>
      <c r="J129" s="266"/>
      <c r="K129" s="123"/>
      <c r="L129" s="123"/>
      <c r="M129" s="123"/>
      <c r="N129" s="123"/>
      <c r="O129" s="123"/>
      <c r="P129" s="123"/>
      <c r="Q129" s="266"/>
      <c r="R129" s="123"/>
      <c r="S129" s="266"/>
      <c r="T129" s="266"/>
      <c r="U129" s="266"/>
      <c r="V129" s="266"/>
      <c r="W129" s="266"/>
      <c r="X129" s="123"/>
      <c r="Y129" s="123"/>
      <c r="Z129" s="123"/>
      <c r="AA129" s="123"/>
      <c r="AB129" s="868"/>
      <c r="AC129" s="868"/>
      <c r="AD129" s="868"/>
      <c r="AE129" s="266"/>
      <c r="AF129" s="266"/>
      <c r="AG129" s="868"/>
      <c r="AH129" s="868"/>
      <c r="AI129" s="868"/>
      <c r="AJ129" s="266"/>
      <c r="AK129" s="266"/>
      <c r="AL129" s="868"/>
      <c r="AM129" s="266"/>
      <c r="AN129" s="868"/>
      <c r="AO129" s="868"/>
      <c r="AP129" s="266"/>
      <c r="AQ129" s="266"/>
    </row>
    <row r="130" spans="1:43" ht="15.75" x14ac:dyDescent="0.25">
      <c r="A130" s="266"/>
      <c r="B130" s="266"/>
      <c r="C130" s="266"/>
      <c r="D130" s="266"/>
      <c r="E130" s="266"/>
      <c r="F130" s="868"/>
      <c r="G130" s="266"/>
      <c r="H130" s="266"/>
      <c r="I130" s="266"/>
      <c r="J130" s="266"/>
      <c r="K130" s="123"/>
      <c r="L130" s="123"/>
      <c r="M130" s="123"/>
      <c r="N130" s="123"/>
      <c r="O130" s="123"/>
      <c r="P130" s="123"/>
      <c r="Q130" s="266"/>
      <c r="R130" s="123"/>
      <c r="S130" s="266"/>
      <c r="T130" s="266"/>
      <c r="U130" s="266"/>
      <c r="V130" s="266"/>
      <c r="W130" s="266"/>
      <c r="X130" s="123"/>
      <c r="Y130" s="123"/>
      <c r="Z130" s="123"/>
      <c r="AA130" s="123"/>
      <c r="AB130" s="868"/>
      <c r="AC130" s="868"/>
      <c r="AD130" s="868"/>
      <c r="AE130" s="266"/>
      <c r="AF130" s="266"/>
      <c r="AG130" s="868"/>
      <c r="AH130" s="868"/>
      <c r="AI130" s="868"/>
      <c r="AJ130" s="266"/>
      <c r="AK130" s="266"/>
      <c r="AL130" s="868"/>
      <c r="AM130" s="266"/>
      <c r="AN130" s="868"/>
      <c r="AO130" s="868"/>
      <c r="AP130" s="266"/>
      <c r="AQ130" s="266"/>
    </row>
    <row r="131" spans="1:43" ht="15.75" x14ac:dyDescent="0.25">
      <c r="A131" s="266"/>
      <c r="B131" s="266"/>
      <c r="C131" s="266"/>
      <c r="D131" s="266"/>
      <c r="E131" s="266"/>
      <c r="F131" s="868"/>
      <c r="G131" s="266"/>
      <c r="H131" s="266"/>
      <c r="I131" s="266"/>
      <c r="J131" s="266"/>
      <c r="K131" s="123"/>
      <c r="L131" s="123"/>
      <c r="M131" s="123"/>
      <c r="N131" s="123"/>
      <c r="O131" s="123"/>
      <c r="P131" s="123"/>
      <c r="Q131" s="266"/>
      <c r="R131" s="123"/>
      <c r="S131" s="266"/>
      <c r="T131" s="266"/>
      <c r="U131" s="266"/>
      <c r="V131" s="266"/>
      <c r="W131" s="266"/>
      <c r="X131" s="123"/>
      <c r="Y131" s="123"/>
      <c r="Z131" s="123"/>
      <c r="AA131" s="123"/>
      <c r="AB131" s="868"/>
      <c r="AC131" s="868"/>
      <c r="AD131" s="868"/>
      <c r="AE131" s="266"/>
      <c r="AF131" s="266"/>
      <c r="AG131" s="868"/>
      <c r="AH131" s="868"/>
      <c r="AI131" s="868"/>
      <c r="AJ131" s="266"/>
      <c r="AK131" s="266"/>
      <c r="AL131" s="868"/>
      <c r="AM131" s="266"/>
      <c r="AN131" s="868"/>
      <c r="AO131" s="868"/>
      <c r="AP131" s="266"/>
      <c r="AQ131" s="266"/>
    </row>
    <row r="132" spans="1:43" ht="15.75" x14ac:dyDescent="0.25">
      <c r="A132" s="266"/>
      <c r="B132" s="266"/>
      <c r="C132" s="266"/>
      <c r="D132" s="266"/>
      <c r="E132" s="266"/>
      <c r="F132" s="868"/>
      <c r="G132" s="266"/>
      <c r="H132" s="266"/>
      <c r="I132" s="266"/>
      <c r="J132" s="266"/>
      <c r="K132" s="123"/>
      <c r="L132" s="123"/>
      <c r="M132" s="123"/>
      <c r="N132" s="123"/>
      <c r="O132" s="123"/>
      <c r="P132" s="123"/>
      <c r="Q132" s="266"/>
      <c r="R132" s="123"/>
      <c r="S132" s="266"/>
      <c r="T132" s="266"/>
      <c r="U132" s="266"/>
      <c r="V132" s="266"/>
      <c r="W132" s="266"/>
      <c r="X132" s="123"/>
      <c r="Y132" s="123"/>
      <c r="Z132" s="123"/>
      <c r="AA132" s="123"/>
      <c r="AB132" s="868"/>
      <c r="AC132" s="868"/>
      <c r="AD132" s="868"/>
      <c r="AE132" s="266"/>
      <c r="AF132" s="266"/>
      <c r="AG132" s="868"/>
      <c r="AH132" s="868"/>
      <c r="AI132" s="868"/>
      <c r="AJ132" s="266"/>
      <c r="AK132" s="266"/>
      <c r="AL132" s="868"/>
      <c r="AM132" s="266"/>
      <c r="AN132" s="868"/>
      <c r="AO132" s="868"/>
      <c r="AP132" s="266"/>
      <c r="AQ132" s="266"/>
    </row>
    <row r="133" spans="1:43" ht="15.75" x14ac:dyDescent="0.25">
      <c r="A133" s="266"/>
      <c r="B133" s="266"/>
      <c r="C133" s="266"/>
      <c r="D133" s="266"/>
      <c r="E133" s="266"/>
      <c r="F133" s="868"/>
      <c r="G133" s="266"/>
      <c r="H133" s="266"/>
      <c r="I133" s="266"/>
      <c r="J133" s="266"/>
      <c r="K133" s="123"/>
      <c r="L133" s="123"/>
      <c r="M133" s="123"/>
      <c r="N133" s="123"/>
      <c r="O133" s="123"/>
      <c r="P133" s="123"/>
      <c r="Q133" s="266"/>
      <c r="R133" s="123"/>
      <c r="S133" s="266"/>
      <c r="T133" s="266"/>
      <c r="U133" s="266"/>
      <c r="V133" s="266"/>
      <c r="W133" s="266"/>
      <c r="X133" s="123"/>
      <c r="Y133" s="123"/>
      <c r="Z133" s="123"/>
      <c r="AA133" s="123"/>
      <c r="AB133" s="868"/>
      <c r="AC133" s="868"/>
      <c r="AD133" s="868"/>
      <c r="AE133" s="266"/>
      <c r="AF133" s="266"/>
      <c r="AG133" s="868"/>
      <c r="AH133" s="868"/>
      <c r="AI133" s="868"/>
      <c r="AJ133" s="266"/>
      <c r="AK133" s="266"/>
      <c r="AL133" s="868"/>
      <c r="AM133" s="266"/>
      <c r="AN133" s="868"/>
      <c r="AO133" s="868"/>
      <c r="AP133" s="266"/>
      <c r="AQ133" s="266"/>
    </row>
    <row r="134" spans="1:43" ht="15.75" x14ac:dyDescent="0.25">
      <c r="A134" s="266"/>
      <c r="B134" s="266"/>
      <c r="C134" s="266"/>
      <c r="D134" s="266"/>
      <c r="E134" s="266"/>
      <c r="F134" s="868"/>
      <c r="G134" s="266"/>
      <c r="H134" s="266"/>
      <c r="I134" s="266"/>
      <c r="J134" s="266"/>
      <c r="K134" s="123"/>
      <c r="L134" s="123"/>
      <c r="M134" s="123"/>
      <c r="N134" s="123"/>
      <c r="O134" s="123"/>
      <c r="P134" s="123"/>
      <c r="Q134" s="266"/>
      <c r="R134" s="123"/>
      <c r="S134" s="266"/>
      <c r="T134" s="266"/>
      <c r="U134" s="266"/>
      <c r="V134" s="266"/>
      <c r="W134" s="266"/>
      <c r="X134" s="123"/>
      <c r="Y134" s="123"/>
      <c r="Z134" s="123"/>
      <c r="AA134" s="123"/>
      <c r="AB134" s="868"/>
      <c r="AC134" s="868"/>
      <c r="AD134" s="868"/>
      <c r="AE134" s="266"/>
      <c r="AF134" s="266"/>
      <c r="AG134" s="868"/>
      <c r="AH134" s="868"/>
      <c r="AI134" s="868"/>
      <c r="AJ134" s="266"/>
      <c r="AK134" s="266"/>
      <c r="AL134" s="868"/>
      <c r="AM134" s="266"/>
      <c r="AN134" s="868"/>
      <c r="AO134" s="868"/>
      <c r="AP134" s="266"/>
      <c r="AQ134" s="266"/>
    </row>
    <row r="135" spans="1:43" ht="15.75" x14ac:dyDescent="0.25">
      <c r="A135" s="266"/>
      <c r="B135" s="266"/>
      <c r="C135" s="266"/>
      <c r="D135" s="266"/>
      <c r="E135" s="266"/>
      <c r="F135" s="868"/>
      <c r="G135" s="266"/>
      <c r="H135" s="266"/>
      <c r="I135" s="266"/>
      <c r="J135" s="266"/>
      <c r="K135" s="123"/>
      <c r="L135" s="123"/>
      <c r="M135" s="123"/>
      <c r="N135" s="123"/>
      <c r="O135" s="123"/>
      <c r="P135" s="123"/>
      <c r="Q135" s="266"/>
      <c r="R135" s="123"/>
      <c r="S135" s="266"/>
      <c r="T135" s="266"/>
      <c r="U135" s="266"/>
      <c r="V135" s="266"/>
      <c r="W135" s="266"/>
      <c r="X135" s="123"/>
      <c r="Y135" s="123"/>
      <c r="Z135" s="123"/>
      <c r="AA135" s="123"/>
      <c r="AB135" s="868"/>
      <c r="AC135" s="868"/>
      <c r="AD135" s="868"/>
      <c r="AE135" s="266"/>
      <c r="AF135" s="266"/>
      <c r="AG135" s="868"/>
      <c r="AH135" s="868"/>
      <c r="AI135" s="868"/>
      <c r="AJ135" s="266"/>
      <c r="AK135" s="266"/>
      <c r="AL135" s="868"/>
      <c r="AM135" s="266"/>
      <c r="AN135" s="868"/>
      <c r="AO135" s="868"/>
      <c r="AP135" s="266"/>
      <c r="AQ135" s="266"/>
    </row>
    <row r="136" spans="1:43" ht="15.75" x14ac:dyDescent="0.25">
      <c r="A136" s="266"/>
      <c r="B136" s="266"/>
      <c r="C136" s="266"/>
      <c r="D136" s="266"/>
      <c r="E136" s="266"/>
      <c r="F136" s="868"/>
      <c r="G136" s="266"/>
      <c r="H136" s="266"/>
      <c r="I136" s="266"/>
      <c r="J136" s="266"/>
      <c r="K136" s="123"/>
      <c r="L136" s="123"/>
      <c r="M136" s="123"/>
      <c r="N136" s="123"/>
      <c r="O136" s="123"/>
      <c r="P136" s="123"/>
      <c r="Q136" s="266"/>
      <c r="R136" s="123"/>
      <c r="S136" s="266"/>
      <c r="T136" s="266"/>
      <c r="U136" s="266"/>
      <c r="V136" s="266"/>
      <c r="W136" s="266"/>
      <c r="X136" s="123"/>
      <c r="Y136" s="123"/>
      <c r="Z136" s="123"/>
      <c r="AA136" s="123"/>
      <c r="AB136" s="868"/>
      <c r="AC136" s="868"/>
      <c r="AD136" s="868"/>
      <c r="AE136" s="266"/>
      <c r="AF136" s="266"/>
      <c r="AG136" s="868"/>
      <c r="AH136" s="868"/>
      <c r="AI136" s="868"/>
      <c r="AJ136" s="266"/>
      <c r="AK136" s="266"/>
      <c r="AL136" s="868"/>
      <c r="AM136" s="266"/>
      <c r="AN136" s="868"/>
      <c r="AO136" s="868"/>
      <c r="AP136" s="266"/>
      <c r="AQ136" s="266"/>
    </row>
    <row r="137" spans="1:43" ht="15.75" x14ac:dyDescent="0.25">
      <c r="A137" s="266"/>
      <c r="B137" s="266"/>
      <c r="C137" s="266"/>
      <c r="D137" s="266"/>
      <c r="E137" s="266"/>
      <c r="F137" s="868"/>
      <c r="G137" s="266"/>
      <c r="H137" s="266"/>
      <c r="I137" s="266"/>
      <c r="J137" s="266"/>
      <c r="K137" s="123"/>
      <c r="L137" s="123"/>
      <c r="M137" s="123"/>
      <c r="N137" s="123"/>
      <c r="O137" s="123"/>
      <c r="P137" s="123"/>
      <c r="Q137" s="266"/>
      <c r="R137" s="123"/>
      <c r="S137" s="266"/>
      <c r="T137" s="266"/>
      <c r="U137" s="266"/>
      <c r="V137" s="266"/>
      <c r="W137" s="266"/>
      <c r="X137" s="123"/>
      <c r="Y137" s="123"/>
      <c r="Z137" s="123"/>
      <c r="AA137" s="123"/>
      <c r="AB137" s="868"/>
      <c r="AC137" s="868"/>
      <c r="AD137" s="868"/>
      <c r="AE137" s="266"/>
      <c r="AF137" s="266"/>
      <c r="AG137" s="868"/>
      <c r="AH137" s="868"/>
      <c r="AI137" s="868"/>
      <c r="AJ137" s="266"/>
      <c r="AK137" s="266"/>
      <c r="AL137" s="868"/>
      <c r="AM137" s="266"/>
      <c r="AN137" s="868"/>
      <c r="AO137" s="868"/>
      <c r="AP137" s="266"/>
      <c r="AQ137" s="266"/>
    </row>
    <row r="138" spans="1:43" ht="15.75" x14ac:dyDescent="0.25">
      <c r="A138" s="266"/>
      <c r="B138" s="266"/>
      <c r="C138" s="266"/>
      <c r="D138" s="266"/>
      <c r="E138" s="266"/>
      <c r="F138" s="868"/>
      <c r="G138" s="266"/>
      <c r="H138" s="266"/>
      <c r="I138" s="266"/>
      <c r="J138" s="266"/>
      <c r="K138" s="123"/>
      <c r="L138" s="123"/>
      <c r="M138" s="123"/>
      <c r="N138" s="123"/>
      <c r="O138" s="123"/>
      <c r="P138" s="123"/>
      <c r="Q138" s="266"/>
      <c r="R138" s="123"/>
      <c r="S138" s="266"/>
      <c r="T138" s="266"/>
      <c r="U138" s="266"/>
      <c r="V138" s="266"/>
      <c r="W138" s="266"/>
      <c r="X138" s="123"/>
      <c r="Y138" s="123"/>
      <c r="Z138" s="123"/>
      <c r="AA138" s="123"/>
      <c r="AB138" s="868"/>
      <c r="AC138" s="868"/>
      <c r="AD138" s="868"/>
      <c r="AE138" s="266"/>
      <c r="AF138" s="266"/>
      <c r="AG138" s="868"/>
      <c r="AH138" s="868"/>
      <c r="AI138" s="868"/>
      <c r="AJ138" s="266"/>
      <c r="AK138" s="266"/>
      <c r="AL138" s="868"/>
      <c r="AM138" s="266"/>
      <c r="AN138" s="868"/>
      <c r="AO138" s="868"/>
      <c r="AP138" s="266"/>
      <c r="AQ138" s="266"/>
    </row>
    <row r="139" spans="1:43" ht="15.75" x14ac:dyDescent="0.25">
      <c r="A139" s="266"/>
      <c r="B139" s="266"/>
      <c r="C139" s="266"/>
      <c r="D139" s="266"/>
      <c r="E139" s="266"/>
      <c r="F139" s="868"/>
      <c r="G139" s="266"/>
      <c r="H139" s="266"/>
      <c r="I139" s="266"/>
      <c r="J139" s="266"/>
      <c r="K139" s="123"/>
      <c r="L139" s="123"/>
      <c r="M139" s="123"/>
      <c r="N139" s="123"/>
      <c r="O139" s="123"/>
      <c r="P139" s="123"/>
      <c r="Q139" s="266"/>
      <c r="R139" s="123"/>
      <c r="S139" s="266"/>
      <c r="T139" s="266"/>
      <c r="U139" s="266"/>
      <c r="V139" s="266"/>
      <c r="W139" s="266"/>
      <c r="X139" s="123"/>
      <c r="Y139" s="123"/>
      <c r="Z139" s="123"/>
      <c r="AA139" s="123"/>
      <c r="AB139" s="868"/>
      <c r="AC139" s="868"/>
      <c r="AD139" s="868"/>
      <c r="AE139" s="266"/>
      <c r="AF139" s="266"/>
      <c r="AG139" s="868"/>
      <c r="AH139" s="868"/>
      <c r="AI139" s="868"/>
      <c r="AJ139" s="266"/>
      <c r="AK139" s="266"/>
      <c r="AL139" s="868"/>
      <c r="AM139" s="266"/>
      <c r="AN139" s="868"/>
      <c r="AO139" s="868"/>
      <c r="AP139" s="266"/>
      <c r="AQ139" s="266"/>
    </row>
    <row r="140" spans="1:43" ht="15.75" x14ac:dyDescent="0.25">
      <c r="A140" s="266"/>
      <c r="B140" s="266"/>
      <c r="C140" s="266"/>
      <c r="D140" s="266"/>
      <c r="E140" s="266"/>
      <c r="F140" s="868"/>
      <c r="G140" s="266"/>
      <c r="H140" s="266"/>
      <c r="I140" s="266"/>
      <c r="J140" s="266"/>
      <c r="K140" s="123"/>
      <c r="L140" s="123"/>
      <c r="M140" s="123"/>
      <c r="N140" s="123"/>
      <c r="O140" s="123"/>
      <c r="P140" s="123"/>
      <c r="Q140" s="266"/>
      <c r="R140" s="123"/>
      <c r="S140" s="266"/>
      <c r="T140" s="266"/>
      <c r="U140" s="266"/>
      <c r="V140" s="266"/>
      <c r="W140" s="266"/>
      <c r="X140" s="123"/>
      <c r="Y140" s="123"/>
      <c r="Z140" s="123"/>
      <c r="AA140" s="123"/>
      <c r="AB140" s="868"/>
      <c r="AC140" s="868"/>
      <c r="AD140" s="868"/>
      <c r="AE140" s="266"/>
      <c r="AF140" s="266"/>
      <c r="AG140" s="868"/>
      <c r="AH140" s="868"/>
      <c r="AI140" s="868"/>
      <c r="AJ140" s="266"/>
      <c r="AK140" s="266"/>
      <c r="AL140" s="868"/>
      <c r="AM140" s="266"/>
      <c r="AN140" s="868"/>
      <c r="AO140" s="868"/>
      <c r="AP140" s="266"/>
      <c r="AQ140" s="266"/>
    </row>
    <row r="141" spans="1:43" ht="15.75" x14ac:dyDescent="0.25">
      <c r="A141" s="266"/>
      <c r="B141" s="266"/>
      <c r="C141" s="266"/>
      <c r="D141" s="266"/>
      <c r="E141" s="266"/>
      <c r="F141" s="868"/>
      <c r="G141" s="266"/>
      <c r="H141" s="266"/>
      <c r="I141" s="266"/>
      <c r="J141" s="266"/>
      <c r="K141" s="123"/>
      <c r="L141" s="123"/>
      <c r="M141" s="123"/>
      <c r="N141" s="123"/>
      <c r="O141" s="123"/>
      <c r="P141" s="123"/>
      <c r="Q141" s="266"/>
      <c r="R141" s="123"/>
      <c r="S141" s="266"/>
      <c r="T141" s="266"/>
      <c r="U141" s="266"/>
      <c r="V141" s="266"/>
      <c r="W141" s="266"/>
      <c r="X141" s="123"/>
      <c r="Y141" s="123"/>
      <c r="Z141" s="123"/>
      <c r="AA141" s="123"/>
      <c r="AB141" s="868"/>
      <c r="AC141" s="868"/>
      <c r="AD141" s="868"/>
      <c r="AE141" s="266"/>
      <c r="AF141" s="266"/>
      <c r="AG141" s="868"/>
      <c r="AH141" s="868"/>
      <c r="AI141" s="868"/>
      <c r="AJ141" s="266"/>
      <c r="AK141" s="266"/>
      <c r="AL141" s="868"/>
      <c r="AM141" s="266"/>
      <c r="AN141" s="868"/>
      <c r="AO141" s="868"/>
      <c r="AP141" s="266"/>
      <c r="AQ141" s="266"/>
    </row>
    <row r="142" spans="1:43" ht="15.75" x14ac:dyDescent="0.25">
      <c r="A142" s="266"/>
      <c r="B142" s="266"/>
      <c r="C142" s="266"/>
      <c r="D142" s="266"/>
      <c r="E142" s="266"/>
      <c r="F142" s="868"/>
      <c r="G142" s="266"/>
      <c r="H142" s="266"/>
      <c r="I142" s="266"/>
      <c r="J142" s="266"/>
      <c r="K142" s="123"/>
      <c r="L142" s="123"/>
      <c r="M142" s="123"/>
      <c r="N142" s="123"/>
      <c r="O142" s="123"/>
      <c r="P142" s="123"/>
      <c r="Q142" s="266"/>
      <c r="R142" s="123"/>
      <c r="S142" s="266"/>
      <c r="T142" s="266"/>
      <c r="U142" s="266"/>
      <c r="V142" s="266"/>
      <c r="W142" s="266"/>
      <c r="X142" s="123"/>
      <c r="Y142" s="123"/>
      <c r="Z142" s="123"/>
      <c r="AA142" s="123"/>
      <c r="AB142" s="868"/>
      <c r="AC142" s="868"/>
      <c r="AD142" s="868"/>
      <c r="AE142" s="266"/>
      <c r="AF142" s="266"/>
      <c r="AG142" s="868"/>
      <c r="AH142" s="868"/>
      <c r="AI142" s="868"/>
      <c r="AJ142" s="266"/>
      <c r="AK142" s="266"/>
      <c r="AL142" s="868"/>
      <c r="AM142" s="266"/>
      <c r="AN142" s="868"/>
      <c r="AO142" s="868"/>
      <c r="AP142" s="266"/>
      <c r="AQ142" s="266"/>
    </row>
    <row r="143" spans="1:43" ht="15.75" x14ac:dyDescent="0.25">
      <c r="A143" s="266"/>
      <c r="B143" s="266"/>
      <c r="C143" s="266"/>
      <c r="D143" s="266"/>
      <c r="E143" s="266"/>
      <c r="F143" s="868"/>
      <c r="G143" s="266"/>
      <c r="H143" s="266"/>
      <c r="I143" s="266"/>
      <c r="J143" s="266"/>
      <c r="K143" s="123"/>
      <c r="L143" s="123"/>
      <c r="M143" s="123"/>
      <c r="N143" s="123"/>
      <c r="O143" s="123"/>
      <c r="P143" s="123"/>
      <c r="Q143" s="266"/>
      <c r="R143" s="123"/>
      <c r="S143" s="266"/>
      <c r="T143" s="266"/>
      <c r="U143" s="266"/>
      <c r="V143" s="266"/>
      <c r="W143" s="266"/>
      <c r="X143" s="123"/>
      <c r="Y143" s="123"/>
      <c r="Z143" s="123"/>
      <c r="AA143" s="123"/>
      <c r="AB143" s="868"/>
      <c r="AC143" s="868"/>
      <c r="AD143" s="868"/>
      <c r="AE143" s="266"/>
      <c r="AF143" s="266"/>
      <c r="AG143" s="868"/>
      <c r="AH143" s="868"/>
      <c r="AI143" s="868"/>
      <c r="AJ143" s="266"/>
      <c r="AK143" s="266"/>
      <c r="AL143" s="868"/>
      <c r="AM143" s="266"/>
      <c r="AN143" s="868"/>
      <c r="AO143" s="868"/>
      <c r="AP143" s="266"/>
      <c r="AQ143" s="266"/>
    </row>
    <row r="144" spans="1:43" ht="15.75" x14ac:dyDescent="0.25">
      <c r="A144" s="266"/>
      <c r="B144" s="266"/>
      <c r="C144" s="266"/>
      <c r="D144" s="266"/>
      <c r="E144" s="266"/>
      <c r="F144" s="868"/>
      <c r="G144" s="266"/>
      <c r="H144" s="266"/>
      <c r="I144" s="266"/>
      <c r="J144" s="266"/>
      <c r="K144" s="123"/>
      <c r="L144" s="123"/>
      <c r="M144" s="123"/>
      <c r="N144" s="123"/>
      <c r="O144" s="123"/>
      <c r="P144" s="123"/>
      <c r="Q144" s="266"/>
      <c r="R144" s="123"/>
      <c r="S144" s="266"/>
      <c r="T144" s="266"/>
      <c r="U144" s="266"/>
      <c r="V144" s="266"/>
      <c r="W144" s="266"/>
      <c r="X144" s="123"/>
      <c r="Y144" s="123"/>
      <c r="Z144" s="123"/>
      <c r="AA144" s="123"/>
      <c r="AB144" s="868"/>
      <c r="AC144" s="868"/>
      <c r="AD144" s="868"/>
      <c r="AE144" s="266"/>
      <c r="AF144" s="266"/>
      <c r="AG144" s="868"/>
      <c r="AH144" s="868"/>
      <c r="AI144" s="868"/>
      <c r="AJ144" s="266"/>
      <c r="AK144" s="266"/>
      <c r="AL144" s="868"/>
      <c r="AM144" s="266"/>
      <c r="AN144" s="868"/>
      <c r="AO144" s="868"/>
      <c r="AP144" s="266"/>
      <c r="AQ144" s="266"/>
    </row>
    <row r="145" spans="1:43" ht="15.75" x14ac:dyDescent="0.25">
      <c r="A145" s="266"/>
      <c r="B145" s="266"/>
      <c r="C145" s="266"/>
      <c r="D145" s="266"/>
      <c r="E145" s="266"/>
      <c r="F145" s="868"/>
      <c r="G145" s="266"/>
      <c r="H145" s="266"/>
      <c r="I145" s="266"/>
      <c r="J145" s="266"/>
      <c r="K145" s="123"/>
      <c r="L145" s="123"/>
      <c r="M145" s="123"/>
      <c r="N145" s="123"/>
      <c r="O145" s="123"/>
      <c r="P145" s="123"/>
      <c r="Q145" s="266"/>
      <c r="R145" s="123"/>
      <c r="S145" s="266"/>
      <c r="T145" s="266"/>
      <c r="U145" s="266"/>
      <c r="V145" s="266"/>
      <c r="W145" s="266"/>
      <c r="X145" s="123"/>
      <c r="Y145" s="123"/>
      <c r="Z145" s="123"/>
      <c r="AA145" s="123"/>
      <c r="AB145" s="868"/>
      <c r="AC145" s="868"/>
      <c r="AD145" s="868"/>
      <c r="AE145" s="266"/>
      <c r="AF145" s="266"/>
      <c r="AG145" s="868"/>
      <c r="AH145" s="868"/>
      <c r="AI145" s="868"/>
      <c r="AJ145" s="266"/>
      <c r="AK145" s="266"/>
      <c r="AL145" s="868"/>
      <c r="AM145" s="266"/>
      <c r="AN145" s="868"/>
      <c r="AO145" s="868"/>
      <c r="AP145" s="266"/>
      <c r="AQ145" s="266"/>
    </row>
    <row r="146" spans="1:43" ht="15.75" x14ac:dyDescent="0.25">
      <c r="A146" s="266"/>
      <c r="B146" s="266"/>
      <c r="C146" s="266"/>
      <c r="D146" s="266"/>
      <c r="E146" s="266"/>
      <c r="F146" s="868"/>
      <c r="G146" s="266"/>
      <c r="H146" s="266"/>
      <c r="I146" s="266"/>
      <c r="J146" s="266"/>
      <c r="K146" s="123"/>
      <c r="L146" s="123"/>
      <c r="M146" s="123"/>
      <c r="N146" s="123"/>
      <c r="O146" s="123"/>
      <c r="P146" s="123"/>
      <c r="Q146" s="266"/>
      <c r="R146" s="123"/>
      <c r="S146" s="266"/>
      <c r="T146" s="266"/>
      <c r="U146" s="266"/>
      <c r="V146" s="266"/>
      <c r="W146" s="266"/>
      <c r="X146" s="123"/>
      <c r="Y146" s="123"/>
      <c r="Z146" s="123"/>
      <c r="AA146" s="123"/>
      <c r="AB146" s="868"/>
      <c r="AC146" s="868"/>
      <c r="AD146" s="868"/>
      <c r="AE146" s="266"/>
      <c r="AF146" s="266"/>
      <c r="AG146" s="868"/>
      <c r="AH146" s="868"/>
      <c r="AI146" s="868"/>
      <c r="AJ146" s="266"/>
      <c r="AK146" s="266"/>
      <c r="AL146" s="868"/>
      <c r="AM146" s="266"/>
      <c r="AN146" s="868"/>
      <c r="AO146" s="868"/>
      <c r="AP146" s="266"/>
      <c r="AQ146" s="266"/>
    </row>
    <row r="147" spans="1:43" ht="15.75" x14ac:dyDescent="0.25">
      <c r="A147" s="266"/>
      <c r="B147" s="266"/>
      <c r="C147" s="266"/>
      <c r="D147" s="266"/>
      <c r="E147" s="266"/>
      <c r="F147" s="868"/>
      <c r="G147" s="266"/>
      <c r="H147" s="266"/>
      <c r="I147" s="266"/>
      <c r="J147" s="266"/>
      <c r="K147" s="123"/>
      <c r="L147" s="123"/>
      <c r="M147" s="123"/>
      <c r="N147" s="123"/>
      <c r="O147" s="123"/>
      <c r="P147" s="123"/>
      <c r="Q147" s="266"/>
      <c r="R147" s="123"/>
      <c r="S147" s="266"/>
      <c r="T147" s="266"/>
      <c r="U147" s="266"/>
      <c r="V147" s="266"/>
      <c r="W147" s="266"/>
      <c r="X147" s="123"/>
      <c r="Y147" s="123"/>
      <c r="Z147" s="123"/>
      <c r="AA147" s="123"/>
      <c r="AB147" s="868"/>
      <c r="AC147" s="868"/>
      <c r="AD147" s="868"/>
      <c r="AE147" s="266"/>
      <c r="AF147" s="266"/>
      <c r="AG147" s="868"/>
      <c r="AH147" s="868"/>
      <c r="AI147" s="868"/>
      <c r="AJ147" s="266"/>
      <c r="AK147" s="266"/>
      <c r="AL147" s="868"/>
      <c r="AM147" s="266"/>
      <c r="AN147" s="868"/>
      <c r="AO147" s="868"/>
      <c r="AP147" s="266"/>
      <c r="AQ147" s="266"/>
    </row>
    <row r="148" spans="1:43" ht="15.75" x14ac:dyDescent="0.25">
      <c r="A148" s="266"/>
      <c r="B148" s="266"/>
      <c r="C148" s="266"/>
      <c r="D148" s="266"/>
      <c r="E148" s="266"/>
      <c r="F148" s="868"/>
      <c r="G148" s="266"/>
      <c r="H148" s="266"/>
      <c r="I148" s="266"/>
      <c r="J148" s="266"/>
      <c r="K148" s="123"/>
      <c r="L148" s="123"/>
      <c r="M148" s="123"/>
      <c r="N148" s="123"/>
      <c r="O148" s="123"/>
      <c r="P148" s="123"/>
      <c r="Q148" s="266"/>
      <c r="R148" s="123"/>
      <c r="S148" s="266"/>
      <c r="T148" s="266"/>
      <c r="U148" s="266"/>
      <c r="V148" s="266"/>
      <c r="W148" s="266"/>
      <c r="X148" s="123"/>
      <c r="Y148" s="123"/>
      <c r="Z148" s="123"/>
      <c r="AA148" s="123"/>
      <c r="AB148" s="868"/>
      <c r="AC148" s="868"/>
      <c r="AD148" s="868"/>
      <c r="AE148" s="266"/>
      <c r="AF148" s="266"/>
      <c r="AG148" s="868"/>
      <c r="AH148" s="868"/>
      <c r="AI148" s="868"/>
      <c r="AJ148" s="266"/>
      <c r="AK148" s="266"/>
      <c r="AL148" s="868"/>
      <c r="AM148" s="266"/>
      <c r="AN148" s="868"/>
      <c r="AO148" s="868"/>
      <c r="AP148" s="266"/>
      <c r="AQ148" s="266"/>
    </row>
    <row r="149" spans="1:43" ht="15.75" x14ac:dyDescent="0.25">
      <c r="A149" s="266"/>
      <c r="B149" s="266"/>
      <c r="C149" s="266"/>
      <c r="D149" s="266"/>
      <c r="E149" s="266"/>
      <c r="F149" s="868"/>
      <c r="G149" s="266"/>
      <c r="H149" s="266"/>
      <c r="I149" s="266"/>
      <c r="J149" s="266"/>
      <c r="K149" s="123"/>
      <c r="L149" s="123"/>
      <c r="M149" s="123"/>
      <c r="N149" s="123"/>
      <c r="O149" s="123"/>
      <c r="P149" s="123"/>
      <c r="Q149" s="266"/>
      <c r="R149" s="123"/>
      <c r="S149" s="266"/>
      <c r="T149" s="266"/>
      <c r="U149" s="266"/>
      <c r="V149" s="266"/>
      <c r="W149" s="266"/>
      <c r="X149" s="123"/>
      <c r="Y149" s="123"/>
      <c r="Z149" s="123"/>
      <c r="AA149" s="123"/>
      <c r="AB149" s="868"/>
      <c r="AC149" s="868"/>
      <c r="AD149" s="868"/>
      <c r="AE149" s="266"/>
      <c r="AF149" s="266"/>
      <c r="AG149" s="868"/>
      <c r="AH149" s="868"/>
      <c r="AI149" s="868"/>
      <c r="AJ149" s="266"/>
      <c r="AK149" s="266"/>
      <c r="AL149" s="868"/>
      <c r="AM149" s="266"/>
      <c r="AN149" s="868"/>
      <c r="AO149" s="868"/>
      <c r="AP149" s="266"/>
      <c r="AQ149" s="266"/>
    </row>
    <row r="150" spans="1:43" ht="15.75" x14ac:dyDescent="0.25">
      <c r="A150" s="266"/>
      <c r="B150" s="266"/>
      <c r="C150" s="266"/>
      <c r="D150" s="266"/>
      <c r="E150" s="266"/>
      <c r="F150" s="868"/>
      <c r="G150" s="266"/>
      <c r="H150" s="266"/>
      <c r="I150" s="266"/>
      <c r="J150" s="266"/>
      <c r="K150" s="123"/>
      <c r="L150" s="123"/>
      <c r="M150" s="123"/>
      <c r="N150" s="123"/>
      <c r="O150" s="123"/>
      <c r="P150" s="123"/>
      <c r="Q150" s="266"/>
      <c r="R150" s="123"/>
      <c r="S150" s="266"/>
      <c r="T150" s="266"/>
      <c r="U150" s="266"/>
      <c r="V150" s="266"/>
      <c r="W150" s="266"/>
      <c r="X150" s="123"/>
      <c r="Y150" s="123"/>
      <c r="Z150" s="123"/>
      <c r="AA150" s="123"/>
      <c r="AB150" s="868"/>
      <c r="AC150" s="868"/>
      <c r="AD150" s="868"/>
      <c r="AE150" s="266"/>
      <c r="AF150" s="266"/>
      <c r="AG150" s="868"/>
      <c r="AH150" s="868"/>
      <c r="AI150" s="868"/>
      <c r="AJ150" s="266"/>
      <c r="AK150" s="266"/>
      <c r="AL150" s="868"/>
      <c r="AM150" s="266"/>
      <c r="AN150" s="868"/>
      <c r="AO150" s="868"/>
      <c r="AP150" s="266"/>
      <c r="AQ150" s="266"/>
    </row>
    <row r="151" spans="1:43" ht="15.75" x14ac:dyDescent="0.25">
      <c r="A151" s="266"/>
      <c r="B151" s="266"/>
      <c r="C151" s="266"/>
      <c r="D151" s="266"/>
      <c r="E151" s="266"/>
      <c r="F151" s="868"/>
      <c r="G151" s="266"/>
      <c r="H151" s="266"/>
      <c r="I151" s="266"/>
      <c r="J151" s="266"/>
      <c r="K151" s="123"/>
      <c r="L151" s="123"/>
      <c r="M151" s="123"/>
      <c r="N151" s="123"/>
      <c r="O151" s="123"/>
      <c r="P151" s="123"/>
      <c r="Q151" s="266"/>
      <c r="R151" s="123"/>
      <c r="S151" s="266"/>
      <c r="T151" s="266"/>
      <c r="U151" s="266"/>
      <c r="V151" s="266"/>
      <c r="W151" s="266"/>
      <c r="X151" s="123"/>
      <c r="Y151" s="123"/>
      <c r="Z151" s="123"/>
      <c r="AA151" s="123"/>
      <c r="AB151" s="868"/>
      <c r="AC151" s="868"/>
      <c r="AD151" s="868"/>
      <c r="AE151" s="266"/>
      <c r="AF151" s="266"/>
      <c r="AG151" s="868"/>
      <c r="AH151" s="868"/>
      <c r="AI151" s="868"/>
      <c r="AJ151" s="266"/>
      <c r="AK151" s="266"/>
      <c r="AL151" s="868"/>
      <c r="AM151" s="266"/>
      <c r="AN151" s="868"/>
      <c r="AO151" s="868"/>
      <c r="AP151" s="266"/>
      <c r="AQ151" s="266"/>
    </row>
    <row r="152" spans="1:43" ht="15.75" x14ac:dyDescent="0.25">
      <c r="A152" s="266"/>
      <c r="B152" s="266"/>
      <c r="C152" s="266"/>
      <c r="D152" s="266"/>
      <c r="E152" s="266"/>
      <c r="F152" s="868"/>
      <c r="G152" s="266"/>
      <c r="H152" s="266"/>
      <c r="I152" s="266"/>
      <c r="J152" s="266"/>
      <c r="K152" s="123"/>
      <c r="L152" s="123"/>
      <c r="M152" s="123"/>
      <c r="N152" s="123"/>
      <c r="O152" s="123"/>
      <c r="P152" s="123"/>
      <c r="Q152" s="266"/>
      <c r="R152" s="123"/>
      <c r="S152" s="266"/>
      <c r="T152" s="266"/>
      <c r="U152" s="266"/>
      <c r="V152" s="266"/>
      <c r="W152" s="266"/>
      <c r="X152" s="123"/>
      <c r="Y152" s="123"/>
      <c r="Z152" s="123"/>
      <c r="AA152" s="123"/>
      <c r="AB152" s="868"/>
      <c r="AC152" s="868"/>
      <c r="AD152" s="868"/>
      <c r="AE152" s="266"/>
      <c r="AF152" s="266"/>
      <c r="AG152" s="868"/>
      <c r="AH152" s="868"/>
      <c r="AI152" s="868"/>
      <c r="AJ152" s="266"/>
      <c r="AK152" s="266"/>
      <c r="AL152" s="868"/>
      <c r="AM152" s="266"/>
      <c r="AN152" s="868"/>
      <c r="AO152" s="868"/>
      <c r="AP152" s="266"/>
      <c r="AQ152" s="266"/>
    </row>
    <row r="153" spans="1:43" ht="15.75" x14ac:dyDescent="0.25">
      <c r="A153" s="266"/>
      <c r="B153" s="266"/>
      <c r="C153" s="266"/>
      <c r="D153" s="266"/>
      <c r="E153" s="266"/>
      <c r="F153" s="868"/>
      <c r="G153" s="266"/>
      <c r="H153" s="266"/>
      <c r="I153" s="266"/>
      <c r="J153" s="266"/>
      <c r="K153" s="123"/>
      <c r="L153" s="123"/>
      <c r="M153" s="123"/>
      <c r="N153" s="123"/>
      <c r="O153" s="123"/>
      <c r="P153" s="123"/>
      <c r="Q153" s="266"/>
      <c r="R153" s="123"/>
      <c r="S153" s="266"/>
      <c r="T153" s="266"/>
      <c r="U153" s="266"/>
      <c r="V153" s="266"/>
      <c r="W153" s="266"/>
      <c r="X153" s="123"/>
      <c r="Y153" s="123"/>
      <c r="Z153" s="123"/>
      <c r="AA153" s="123"/>
      <c r="AB153" s="868"/>
      <c r="AC153" s="868"/>
      <c r="AD153" s="868"/>
      <c r="AE153" s="266"/>
      <c r="AF153" s="266"/>
      <c r="AG153" s="868"/>
      <c r="AH153" s="868"/>
      <c r="AI153" s="868"/>
      <c r="AJ153" s="266"/>
      <c r="AK153" s="266"/>
      <c r="AL153" s="868"/>
      <c r="AM153" s="266"/>
      <c r="AN153" s="868"/>
      <c r="AO153" s="868"/>
      <c r="AP153" s="266"/>
      <c r="AQ153" s="266"/>
    </row>
    <row r="154" spans="1:43" ht="15.75" x14ac:dyDescent="0.25">
      <c r="A154" s="266"/>
      <c r="B154" s="266"/>
      <c r="C154" s="266"/>
      <c r="D154" s="266"/>
      <c r="E154" s="266"/>
      <c r="F154" s="868"/>
      <c r="G154" s="266"/>
      <c r="H154" s="266"/>
      <c r="I154" s="266"/>
      <c r="J154" s="266"/>
      <c r="K154" s="123"/>
      <c r="L154" s="123"/>
      <c r="M154" s="123"/>
      <c r="N154" s="123"/>
      <c r="O154" s="123"/>
      <c r="P154" s="123"/>
      <c r="Q154" s="266"/>
      <c r="R154" s="123"/>
      <c r="S154" s="266"/>
      <c r="T154" s="266"/>
      <c r="U154" s="266"/>
      <c r="V154" s="266"/>
      <c r="W154" s="266"/>
      <c r="X154" s="123"/>
      <c r="Y154" s="123"/>
      <c r="Z154" s="123"/>
      <c r="AA154" s="123"/>
      <c r="AB154" s="868"/>
      <c r="AC154" s="868"/>
      <c r="AD154" s="868"/>
      <c r="AE154" s="266"/>
      <c r="AF154" s="266"/>
      <c r="AG154" s="868"/>
      <c r="AH154" s="868"/>
      <c r="AI154" s="868"/>
      <c r="AJ154" s="266"/>
      <c r="AK154" s="266"/>
      <c r="AL154" s="868"/>
      <c r="AM154" s="266"/>
      <c r="AN154" s="868"/>
      <c r="AO154" s="868"/>
      <c r="AP154" s="266"/>
      <c r="AQ154" s="266"/>
    </row>
    <row r="155" spans="1:43" ht="15.75" x14ac:dyDescent="0.25">
      <c r="A155" s="266"/>
      <c r="B155" s="266"/>
      <c r="C155" s="266"/>
      <c r="D155" s="266"/>
      <c r="E155" s="266"/>
      <c r="F155" s="868"/>
      <c r="G155" s="266"/>
      <c r="H155" s="266"/>
      <c r="I155" s="266"/>
      <c r="J155" s="266"/>
      <c r="K155" s="123"/>
      <c r="L155" s="123"/>
      <c r="M155" s="123"/>
      <c r="N155" s="123"/>
      <c r="O155" s="123"/>
      <c r="P155" s="123"/>
      <c r="Q155" s="266"/>
      <c r="R155" s="123"/>
      <c r="S155" s="266"/>
      <c r="T155" s="266"/>
      <c r="U155" s="266"/>
      <c r="V155" s="266"/>
      <c r="W155" s="266"/>
      <c r="X155" s="123"/>
      <c r="Y155" s="123"/>
      <c r="Z155" s="123"/>
      <c r="AA155" s="123"/>
      <c r="AB155" s="868"/>
      <c r="AC155" s="868"/>
      <c r="AD155" s="868"/>
      <c r="AE155" s="266"/>
      <c r="AF155" s="266"/>
      <c r="AG155" s="868"/>
      <c r="AH155" s="868"/>
      <c r="AI155" s="868"/>
      <c r="AJ155" s="266"/>
      <c r="AK155" s="266"/>
      <c r="AL155" s="868"/>
      <c r="AM155" s="266"/>
      <c r="AN155" s="868"/>
      <c r="AO155" s="868"/>
      <c r="AP155" s="266"/>
      <c r="AQ155" s="266"/>
    </row>
    <row r="156" spans="1:43" ht="15.75" x14ac:dyDescent="0.25">
      <c r="A156" s="266"/>
      <c r="B156" s="266"/>
      <c r="C156" s="266"/>
      <c r="D156" s="266"/>
      <c r="E156" s="266"/>
      <c r="F156" s="868"/>
      <c r="G156" s="266"/>
      <c r="H156" s="266"/>
      <c r="I156" s="266"/>
      <c r="J156" s="266"/>
      <c r="K156" s="123"/>
      <c r="L156" s="123"/>
      <c r="M156" s="123"/>
      <c r="N156" s="123"/>
      <c r="O156" s="123"/>
      <c r="P156" s="123"/>
      <c r="Q156" s="266"/>
      <c r="R156" s="123"/>
      <c r="S156" s="266"/>
      <c r="T156" s="266"/>
      <c r="U156" s="266"/>
      <c r="V156" s="266"/>
      <c r="W156" s="266"/>
      <c r="X156" s="123"/>
      <c r="Y156" s="123"/>
      <c r="Z156" s="123"/>
      <c r="AA156" s="123"/>
      <c r="AB156" s="868"/>
      <c r="AC156" s="868"/>
      <c r="AD156" s="868"/>
      <c r="AE156" s="266"/>
      <c r="AF156" s="266"/>
      <c r="AG156" s="868"/>
      <c r="AH156" s="868"/>
      <c r="AI156" s="868"/>
      <c r="AJ156" s="266"/>
      <c r="AK156" s="266"/>
      <c r="AL156" s="868"/>
      <c r="AM156" s="266"/>
      <c r="AN156" s="868"/>
      <c r="AO156" s="868"/>
      <c r="AP156" s="266"/>
      <c r="AQ156" s="266"/>
    </row>
    <row r="157" spans="1:43" ht="15.75" x14ac:dyDescent="0.25">
      <c r="A157" s="266"/>
      <c r="B157" s="266"/>
      <c r="C157" s="266"/>
      <c r="D157" s="266"/>
      <c r="E157" s="266"/>
      <c r="F157" s="868"/>
      <c r="G157" s="266"/>
      <c r="H157" s="266"/>
      <c r="I157" s="266"/>
      <c r="J157" s="266"/>
      <c r="K157" s="123"/>
      <c r="L157" s="123"/>
      <c r="M157" s="123"/>
      <c r="N157" s="123"/>
      <c r="O157" s="123"/>
      <c r="P157" s="123"/>
      <c r="Q157" s="266"/>
      <c r="R157" s="123"/>
      <c r="S157" s="266"/>
      <c r="T157" s="266"/>
      <c r="U157" s="266"/>
      <c r="V157" s="266"/>
      <c r="W157" s="266"/>
      <c r="X157" s="123"/>
      <c r="Y157" s="123"/>
      <c r="Z157" s="123"/>
      <c r="AA157" s="123"/>
      <c r="AB157" s="868"/>
      <c r="AC157" s="868"/>
      <c r="AD157" s="868"/>
      <c r="AE157" s="266"/>
      <c r="AF157" s="266"/>
      <c r="AG157" s="868"/>
      <c r="AH157" s="868"/>
      <c r="AI157" s="868"/>
      <c r="AJ157" s="266"/>
      <c r="AK157" s="266"/>
      <c r="AL157" s="868"/>
      <c r="AM157" s="266"/>
      <c r="AN157" s="868"/>
      <c r="AO157" s="868"/>
      <c r="AP157" s="266"/>
      <c r="AQ157" s="266"/>
    </row>
    <row r="158" spans="1:43" ht="15.75" x14ac:dyDescent="0.25">
      <c r="A158" s="266"/>
      <c r="B158" s="266"/>
      <c r="C158" s="266"/>
      <c r="D158" s="266"/>
      <c r="E158" s="266"/>
      <c r="F158" s="868"/>
      <c r="G158" s="266"/>
      <c r="H158" s="266"/>
      <c r="I158" s="266"/>
      <c r="J158" s="266"/>
      <c r="K158" s="123"/>
      <c r="L158" s="123"/>
      <c r="M158" s="123"/>
      <c r="N158" s="123"/>
      <c r="O158" s="123"/>
      <c r="P158" s="123"/>
      <c r="Q158" s="266"/>
      <c r="R158" s="123"/>
      <c r="S158" s="266"/>
      <c r="T158" s="266"/>
      <c r="U158" s="266"/>
      <c r="V158" s="266"/>
      <c r="W158" s="266"/>
      <c r="X158" s="123"/>
      <c r="Y158" s="123"/>
      <c r="Z158" s="123"/>
      <c r="AA158" s="123"/>
      <c r="AB158" s="868"/>
      <c r="AC158" s="868"/>
      <c r="AD158" s="868"/>
      <c r="AE158" s="266"/>
      <c r="AF158" s="266"/>
      <c r="AG158" s="868"/>
      <c r="AH158" s="868"/>
      <c r="AI158" s="868"/>
      <c r="AJ158" s="266"/>
      <c r="AK158" s="266"/>
      <c r="AL158" s="868"/>
      <c r="AM158" s="266"/>
      <c r="AN158" s="868"/>
      <c r="AO158" s="868"/>
      <c r="AP158" s="266"/>
      <c r="AQ158" s="266"/>
    </row>
    <row r="159" spans="1:43" ht="15.75" x14ac:dyDescent="0.25">
      <c r="A159" s="266"/>
      <c r="B159" s="266"/>
      <c r="C159" s="266"/>
      <c r="D159" s="266"/>
      <c r="E159" s="266"/>
      <c r="F159" s="868"/>
      <c r="G159" s="266"/>
      <c r="H159" s="266"/>
      <c r="I159" s="266"/>
      <c r="J159" s="266"/>
      <c r="K159" s="123"/>
      <c r="L159" s="123"/>
      <c r="M159" s="123"/>
      <c r="N159" s="123"/>
      <c r="O159" s="123"/>
      <c r="P159" s="123"/>
      <c r="Q159" s="266"/>
      <c r="R159" s="123"/>
      <c r="S159" s="266"/>
      <c r="T159" s="266"/>
      <c r="U159" s="266"/>
      <c r="V159" s="266"/>
      <c r="W159" s="266"/>
      <c r="X159" s="123"/>
      <c r="Y159" s="123"/>
      <c r="Z159" s="123"/>
      <c r="AA159" s="123"/>
      <c r="AB159" s="868"/>
      <c r="AC159" s="868"/>
      <c r="AD159" s="868"/>
      <c r="AE159" s="266"/>
      <c r="AF159" s="266"/>
      <c r="AG159" s="868"/>
      <c r="AH159" s="868"/>
      <c r="AI159" s="868"/>
      <c r="AJ159" s="266"/>
      <c r="AK159" s="266"/>
      <c r="AL159" s="868"/>
      <c r="AM159" s="266"/>
      <c r="AN159" s="868"/>
      <c r="AO159" s="868"/>
      <c r="AP159" s="266"/>
      <c r="AQ159" s="266"/>
    </row>
    <row r="160" spans="1:43" ht="15.75" x14ac:dyDescent="0.25">
      <c r="A160" s="266"/>
      <c r="B160" s="266"/>
      <c r="C160" s="266"/>
      <c r="D160" s="266"/>
      <c r="E160" s="266"/>
      <c r="F160" s="868"/>
      <c r="G160" s="266"/>
      <c r="H160" s="266"/>
      <c r="I160" s="266"/>
      <c r="J160" s="266"/>
      <c r="K160" s="123"/>
      <c r="L160" s="123"/>
      <c r="M160" s="123"/>
      <c r="N160" s="123"/>
      <c r="O160" s="123"/>
      <c r="P160" s="123"/>
      <c r="Q160" s="266"/>
      <c r="R160" s="123"/>
      <c r="S160" s="266"/>
      <c r="T160" s="266"/>
      <c r="U160" s="266"/>
      <c r="V160" s="266"/>
      <c r="W160" s="266"/>
      <c r="X160" s="123"/>
      <c r="Y160" s="123"/>
      <c r="Z160" s="123"/>
      <c r="AA160" s="123"/>
      <c r="AB160" s="868"/>
      <c r="AC160" s="868"/>
      <c r="AD160" s="868"/>
      <c r="AE160" s="266"/>
      <c r="AF160" s="266"/>
      <c r="AG160" s="868"/>
      <c r="AH160" s="868"/>
      <c r="AI160" s="868"/>
      <c r="AJ160" s="266"/>
      <c r="AK160" s="266"/>
      <c r="AL160" s="868"/>
      <c r="AM160" s="266"/>
      <c r="AN160" s="868"/>
      <c r="AO160" s="868"/>
      <c r="AP160" s="266"/>
      <c r="AQ160" s="266"/>
    </row>
    <row r="161" spans="1:43" ht="15.75" x14ac:dyDescent="0.25">
      <c r="A161" s="266"/>
      <c r="B161" s="266"/>
      <c r="C161" s="266"/>
      <c r="D161" s="266"/>
      <c r="E161" s="266"/>
      <c r="F161" s="868"/>
      <c r="G161" s="266"/>
      <c r="H161" s="266"/>
      <c r="I161" s="266"/>
      <c r="J161" s="266"/>
      <c r="K161" s="123"/>
      <c r="L161" s="123"/>
      <c r="M161" s="123"/>
      <c r="N161" s="123"/>
      <c r="O161" s="123"/>
      <c r="P161" s="123"/>
      <c r="Q161" s="266"/>
      <c r="R161" s="123"/>
      <c r="S161" s="266"/>
      <c r="T161" s="266"/>
      <c r="U161" s="266"/>
      <c r="V161" s="266"/>
      <c r="W161" s="266"/>
      <c r="X161" s="123"/>
      <c r="Y161" s="123"/>
      <c r="Z161" s="123"/>
      <c r="AA161" s="123"/>
      <c r="AB161" s="868"/>
      <c r="AC161" s="868"/>
      <c r="AD161" s="868"/>
      <c r="AE161" s="266"/>
      <c r="AF161" s="266"/>
      <c r="AG161" s="868"/>
      <c r="AH161" s="868"/>
      <c r="AI161" s="868"/>
      <c r="AJ161" s="266"/>
      <c r="AK161" s="266"/>
      <c r="AL161" s="868"/>
      <c r="AM161" s="266"/>
      <c r="AN161" s="868"/>
      <c r="AO161" s="868"/>
      <c r="AP161" s="266"/>
      <c r="AQ161" s="266"/>
    </row>
    <row r="162" spans="1:43" ht="15.75" x14ac:dyDescent="0.25">
      <c r="A162" s="266"/>
      <c r="B162" s="266"/>
      <c r="C162" s="266"/>
      <c r="D162" s="266"/>
      <c r="E162" s="266"/>
      <c r="F162" s="868"/>
      <c r="G162" s="266"/>
      <c r="H162" s="266"/>
      <c r="I162" s="266"/>
      <c r="J162" s="266"/>
      <c r="K162" s="123"/>
      <c r="L162" s="123"/>
      <c r="M162" s="123"/>
      <c r="N162" s="123"/>
      <c r="O162" s="123"/>
      <c r="P162" s="123"/>
      <c r="Q162" s="266"/>
      <c r="R162" s="123"/>
      <c r="S162" s="266"/>
      <c r="T162" s="266"/>
      <c r="U162" s="266"/>
      <c r="V162" s="266"/>
      <c r="W162" s="266"/>
      <c r="X162" s="123"/>
      <c r="Y162" s="123"/>
      <c r="Z162" s="123"/>
      <c r="AA162" s="123"/>
      <c r="AB162" s="868"/>
      <c r="AC162" s="868"/>
      <c r="AD162" s="868"/>
      <c r="AE162" s="266"/>
      <c r="AF162" s="266"/>
      <c r="AG162" s="868"/>
      <c r="AH162" s="868"/>
      <c r="AI162" s="868"/>
      <c r="AJ162" s="266"/>
      <c r="AK162" s="266"/>
      <c r="AL162" s="868"/>
      <c r="AM162" s="266"/>
      <c r="AN162" s="868"/>
      <c r="AO162" s="868"/>
      <c r="AP162" s="266"/>
      <c r="AQ162" s="266"/>
    </row>
    <row r="163" spans="1:43" ht="15.75" x14ac:dyDescent="0.25">
      <c r="A163" s="266"/>
      <c r="B163" s="266"/>
      <c r="C163" s="266"/>
      <c r="D163" s="266"/>
      <c r="E163" s="266"/>
      <c r="F163" s="868"/>
      <c r="G163" s="266"/>
      <c r="H163" s="266"/>
      <c r="I163" s="266"/>
      <c r="J163" s="266"/>
      <c r="K163" s="123"/>
      <c r="L163" s="123"/>
      <c r="M163" s="123"/>
      <c r="N163" s="123"/>
      <c r="O163" s="123"/>
      <c r="P163" s="123"/>
      <c r="Q163" s="266"/>
      <c r="R163" s="123"/>
      <c r="S163" s="266"/>
      <c r="T163" s="266"/>
      <c r="U163" s="266"/>
      <c r="V163" s="266"/>
      <c r="W163" s="266"/>
      <c r="X163" s="123"/>
      <c r="Y163" s="123"/>
      <c r="Z163" s="123"/>
      <c r="AA163" s="123"/>
      <c r="AB163" s="868"/>
      <c r="AC163" s="868"/>
      <c r="AD163" s="868"/>
      <c r="AE163" s="266"/>
      <c r="AF163" s="266"/>
      <c r="AG163" s="868"/>
      <c r="AH163" s="868"/>
      <c r="AI163" s="868"/>
      <c r="AJ163" s="266"/>
      <c r="AK163" s="266"/>
      <c r="AL163" s="868"/>
      <c r="AM163" s="266"/>
      <c r="AN163" s="868"/>
      <c r="AO163" s="868"/>
      <c r="AP163" s="266"/>
      <c r="AQ163" s="266"/>
    </row>
    <row r="164" spans="1:43" ht="15.75" x14ac:dyDescent="0.25">
      <c r="A164" s="266"/>
      <c r="B164" s="266"/>
      <c r="C164" s="266"/>
      <c r="D164" s="266"/>
      <c r="E164" s="266"/>
      <c r="F164" s="868"/>
      <c r="G164" s="266"/>
      <c r="H164" s="266"/>
      <c r="I164" s="266"/>
      <c r="J164" s="266"/>
      <c r="K164" s="123"/>
      <c r="L164" s="123"/>
      <c r="M164" s="123"/>
      <c r="N164" s="123"/>
      <c r="O164" s="123"/>
      <c r="P164" s="123"/>
      <c r="Q164" s="266"/>
      <c r="R164" s="123"/>
      <c r="S164" s="266"/>
      <c r="T164" s="266"/>
      <c r="U164" s="266"/>
      <c r="V164" s="266"/>
      <c r="W164" s="266"/>
      <c r="X164" s="123"/>
      <c r="Y164" s="123"/>
      <c r="Z164" s="123"/>
      <c r="AA164" s="123"/>
      <c r="AB164" s="868"/>
      <c r="AC164" s="868"/>
      <c r="AD164" s="868"/>
      <c r="AE164" s="266"/>
      <c r="AF164" s="266"/>
      <c r="AG164" s="868"/>
      <c r="AH164" s="868"/>
      <c r="AI164" s="868"/>
      <c r="AJ164" s="266"/>
      <c r="AK164" s="266"/>
      <c r="AL164" s="868"/>
      <c r="AM164" s="266"/>
      <c r="AN164" s="868"/>
      <c r="AO164" s="868"/>
      <c r="AP164" s="266"/>
      <c r="AQ164" s="266"/>
    </row>
    <row r="165" spans="1:43" ht="15.75" x14ac:dyDescent="0.25">
      <c r="A165" s="266"/>
      <c r="B165" s="266"/>
      <c r="C165" s="266"/>
      <c r="D165" s="266"/>
      <c r="E165" s="266"/>
      <c r="F165" s="868"/>
      <c r="G165" s="266"/>
      <c r="H165" s="266"/>
      <c r="I165" s="266"/>
      <c r="J165" s="266"/>
      <c r="K165" s="123"/>
      <c r="L165" s="123"/>
      <c r="M165" s="123"/>
      <c r="N165" s="123"/>
      <c r="O165" s="123"/>
      <c r="P165" s="123"/>
      <c r="Q165" s="266"/>
      <c r="R165" s="123"/>
      <c r="S165" s="266"/>
      <c r="T165" s="266"/>
      <c r="U165" s="266"/>
      <c r="V165" s="266"/>
      <c r="W165" s="266"/>
      <c r="X165" s="123"/>
      <c r="Y165" s="123"/>
      <c r="Z165" s="123"/>
      <c r="AA165" s="123"/>
      <c r="AB165" s="868"/>
      <c r="AC165" s="868"/>
      <c r="AD165" s="868"/>
      <c r="AE165" s="266"/>
      <c r="AF165" s="266"/>
      <c r="AG165" s="868"/>
      <c r="AH165" s="868"/>
      <c r="AI165" s="868"/>
      <c r="AJ165" s="266"/>
      <c r="AK165" s="266"/>
      <c r="AL165" s="868"/>
      <c r="AM165" s="266"/>
      <c r="AN165" s="868"/>
      <c r="AO165" s="868"/>
      <c r="AP165" s="266"/>
      <c r="AQ165" s="266"/>
    </row>
    <row r="166" spans="1:43" ht="15.75" x14ac:dyDescent="0.25">
      <c r="A166" s="266"/>
      <c r="B166" s="266"/>
      <c r="C166" s="266"/>
      <c r="D166" s="266"/>
      <c r="E166" s="266"/>
      <c r="F166" s="868"/>
      <c r="G166" s="266"/>
      <c r="H166" s="266"/>
      <c r="I166" s="266"/>
      <c r="J166" s="266"/>
      <c r="K166" s="123"/>
      <c r="L166" s="123"/>
      <c r="M166" s="123"/>
      <c r="N166" s="123"/>
      <c r="O166" s="123"/>
      <c r="P166" s="123"/>
      <c r="Q166" s="266"/>
      <c r="R166" s="123"/>
      <c r="S166" s="266"/>
      <c r="T166" s="266"/>
      <c r="U166" s="266"/>
      <c r="V166" s="266"/>
      <c r="W166" s="266"/>
      <c r="X166" s="123"/>
      <c r="Y166" s="123"/>
      <c r="Z166" s="123"/>
      <c r="AA166" s="123"/>
      <c r="AB166" s="868"/>
      <c r="AC166" s="868"/>
      <c r="AD166" s="868"/>
      <c r="AE166" s="266"/>
      <c r="AF166" s="266"/>
      <c r="AG166" s="868"/>
      <c r="AH166" s="868"/>
      <c r="AI166" s="868"/>
      <c r="AJ166" s="266"/>
      <c r="AK166" s="266"/>
      <c r="AL166" s="868"/>
      <c r="AM166" s="266"/>
      <c r="AN166" s="868"/>
      <c r="AO166" s="868"/>
      <c r="AP166" s="266"/>
      <c r="AQ166" s="266"/>
    </row>
    <row r="167" spans="1:43" ht="15.75" x14ac:dyDescent="0.25">
      <c r="A167" s="266"/>
      <c r="B167" s="266"/>
      <c r="C167" s="266"/>
      <c r="D167" s="266"/>
      <c r="E167" s="266"/>
      <c r="F167" s="868"/>
      <c r="G167" s="266"/>
      <c r="H167" s="266"/>
      <c r="I167" s="266"/>
      <c r="J167" s="266"/>
      <c r="K167" s="123"/>
      <c r="L167" s="123"/>
      <c r="M167" s="123"/>
      <c r="N167" s="123"/>
      <c r="O167" s="123"/>
      <c r="P167" s="123"/>
      <c r="Q167" s="266"/>
      <c r="R167" s="123"/>
      <c r="S167" s="266"/>
      <c r="T167" s="266"/>
      <c r="U167" s="266"/>
      <c r="V167" s="266"/>
      <c r="W167" s="266"/>
      <c r="X167" s="123"/>
      <c r="Y167" s="123"/>
      <c r="Z167" s="123"/>
      <c r="AA167" s="123"/>
      <c r="AB167" s="868"/>
      <c r="AC167" s="868"/>
      <c r="AD167" s="868"/>
      <c r="AE167" s="266"/>
      <c r="AF167" s="266"/>
      <c r="AG167" s="868"/>
      <c r="AH167" s="868"/>
      <c r="AI167" s="868"/>
      <c r="AJ167" s="266"/>
      <c r="AK167" s="266"/>
      <c r="AL167" s="868"/>
      <c r="AM167" s="266"/>
      <c r="AN167" s="868"/>
      <c r="AO167" s="868"/>
      <c r="AP167" s="266"/>
      <c r="AQ167" s="266"/>
    </row>
    <row r="168" spans="1:43" ht="15.75" x14ac:dyDescent="0.25">
      <c r="A168" s="266"/>
      <c r="B168" s="266"/>
      <c r="C168" s="266"/>
      <c r="D168" s="266"/>
      <c r="E168" s="266"/>
      <c r="F168" s="868"/>
      <c r="G168" s="266"/>
      <c r="H168" s="266"/>
      <c r="I168" s="266"/>
      <c r="J168" s="266"/>
      <c r="K168" s="123"/>
      <c r="L168" s="123"/>
      <c r="M168" s="123"/>
      <c r="N168" s="123"/>
      <c r="O168" s="123"/>
      <c r="P168" s="123"/>
      <c r="Q168" s="266"/>
      <c r="R168" s="123"/>
      <c r="S168" s="266"/>
      <c r="T168" s="266"/>
      <c r="U168" s="266"/>
      <c r="V168" s="266"/>
      <c r="W168" s="266"/>
      <c r="X168" s="123"/>
      <c r="Y168" s="123"/>
      <c r="Z168" s="123"/>
      <c r="AA168" s="123"/>
      <c r="AB168" s="868"/>
      <c r="AC168" s="868"/>
      <c r="AD168" s="868"/>
      <c r="AE168" s="266"/>
      <c r="AF168" s="266"/>
      <c r="AG168" s="868"/>
      <c r="AH168" s="868"/>
      <c r="AI168" s="868"/>
      <c r="AJ168" s="266"/>
      <c r="AK168" s="266"/>
      <c r="AL168" s="868"/>
      <c r="AM168" s="266"/>
      <c r="AN168" s="868"/>
      <c r="AO168" s="868"/>
      <c r="AP168" s="266"/>
      <c r="AQ168" s="266"/>
    </row>
    <row r="169" spans="1:43" ht="15.75" x14ac:dyDescent="0.25">
      <c r="A169" s="266"/>
      <c r="B169" s="266"/>
      <c r="C169" s="266"/>
      <c r="D169" s="266"/>
      <c r="E169" s="266"/>
      <c r="F169" s="868"/>
      <c r="G169" s="266"/>
      <c r="H169" s="266"/>
      <c r="I169" s="266"/>
      <c r="J169" s="266"/>
      <c r="K169" s="123"/>
      <c r="L169" s="123"/>
      <c r="M169" s="123"/>
      <c r="N169" s="123"/>
      <c r="O169" s="123"/>
      <c r="P169" s="123"/>
      <c r="Q169" s="266"/>
      <c r="R169" s="123"/>
      <c r="S169" s="266"/>
      <c r="T169" s="266"/>
      <c r="U169" s="266"/>
      <c r="V169" s="266"/>
      <c r="W169" s="266"/>
      <c r="X169" s="123"/>
      <c r="Y169" s="123"/>
      <c r="Z169" s="123"/>
      <c r="AA169" s="123"/>
      <c r="AB169" s="868"/>
      <c r="AC169" s="868"/>
      <c r="AD169" s="868"/>
      <c r="AE169" s="266"/>
      <c r="AF169" s="266"/>
      <c r="AG169" s="868"/>
      <c r="AH169" s="868"/>
      <c r="AI169" s="868"/>
      <c r="AJ169" s="266"/>
      <c r="AK169" s="266"/>
      <c r="AL169" s="868"/>
      <c r="AM169" s="266"/>
      <c r="AN169" s="868"/>
      <c r="AO169" s="868"/>
      <c r="AP169" s="266"/>
      <c r="AQ169" s="266"/>
    </row>
    <row r="170" spans="1:43" ht="15.75" x14ac:dyDescent="0.25">
      <c r="A170" s="266"/>
      <c r="B170" s="266"/>
      <c r="C170" s="266"/>
      <c r="D170" s="266"/>
      <c r="E170" s="266"/>
      <c r="F170" s="868"/>
      <c r="G170" s="266"/>
      <c r="H170" s="266"/>
      <c r="I170" s="266"/>
      <c r="J170" s="266"/>
      <c r="K170" s="123"/>
      <c r="L170" s="123"/>
      <c r="M170" s="123"/>
      <c r="N170" s="123"/>
      <c r="O170" s="123"/>
      <c r="P170" s="123"/>
      <c r="Q170" s="266"/>
      <c r="R170" s="123"/>
      <c r="S170" s="266"/>
      <c r="T170" s="266"/>
      <c r="U170" s="266"/>
      <c r="V170" s="266"/>
      <c r="W170" s="266"/>
      <c r="X170" s="123"/>
      <c r="Y170" s="123"/>
      <c r="Z170" s="123"/>
      <c r="AA170" s="123"/>
      <c r="AB170" s="868"/>
      <c r="AC170" s="868"/>
      <c r="AD170" s="868"/>
      <c r="AE170" s="266"/>
      <c r="AF170" s="266"/>
      <c r="AG170" s="868"/>
      <c r="AH170" s="868"/>
      <c r="AI170" s="868"/>
      <c r="AJ170" s="266"/>
      <c r="AK170" s="266"/>
      <c r="AL170" s="868"/>
      <c r="AM170" s="266"/>
      <c r="AN170" s="868"/>
      <c r="AO170" s="868"/>
      <c r="AP170" s="266"/>
      <c r="AQ170" s="266"/>
    </row>
    <row r="171" spans="1:43" ht="15.75" x14ac:dyDescent="0.25">
      <c r="A171" s="266"/>
      <c r="B171" s="266"/>
      <c r="C171" s="266"/>
      <c r="D171" s="266"/>
      <c r="E171" s="266"/>
      <c r="F171" s="868"/>
      <c r="G171" s="266"/>
      <c r="H171" s="266"/>
      <c r="I171" s="266"/>
      <c r="J171" s="266"/>
      <c r="K171" s="123"/>
      <c r="L171" s="123"/>
      <c r="M171" s="123"/>
      <c r="N171" s="123"/>
      <c r="O171" s="123"/>
      <c r="P171" s="123"/>
      <c r="Q171" s="266"/>
      <c r="R171" s="123"/>
      <c r="S171" s="266"/>
      <c r="T171" s="266"/>
      <c r="U171" s="266"/>
      <c r="V171" s="266"/>
      <c r="W171" s="266"/>
      <c r="X171" s="123"/>
      <c r="Y171" s="123"/>
      <c r="Z171" s="123"/>
      <c r="AA171" s="123"/>
      <c r="AB171" s="868"/>
      <c r="AC171" s="868"/>
      <c r="AD171" s="868"/>
      <c r="AE171" s="266"/>
      <c r="AF171" s="266"/>
      <c r="AG171" s="868"/>
      <c r="AH171" s="868"/>
      <c r="AI171" s="868"/>
      <c r="AJ171" s="266"/>
      <c r="AK171" s="266"/>
      <c r="AL171" s="868"/>
      <c r="AM171" s="266"/>
      <c r="AN171" s="868"/>
      <c r="AO171" s="868"/>
      <c r="AP171" s="266"/>
      <c r="AQ171" s="266"/>
    </row>
    <row r="172" spans="1:43" ht="15.75" x14ac:dyDescent="0.25">
      <c r="A172" s="266"/>
      <c r="B172" s="266"/>
      <c r="C172" s="266"/>
      <c r="D172" s="266"/>
      <c r="E172" s="266"/>
      <c r="F172" s="868"/>
      <c r="G172" s="266"/>
      <c r="H172" s="266"/>
      <c r="I172" s="266"/>
      <c r="J172" s="266"/>
      <c r="K172" s="123"/>
      <c r="L172" s="123"/>
      <c r="M172" s="123"/>
      <c r="N172" s="123"/>
      <c r="O172" s="123"/>
      <c r="P172" s="123"/>
      <c r="Q172" s="266"/>
      <c r="R172" s="123"/>
      <c r="S172" s="266"/>
      <c r="T172" s="266"/>
      <c r="U172" s="266"/>
      <c r="V172" s="266"/>
      <c r="W172" s="266"/>
      <c r="X172" s="123"/>
      <c r="Y172" s="123"/>
      <c r="Z172" s="123"/>
      <c r="AA172" s="123"/>
      <c r="AB172" s="868"/>
      <c r="AC172" s="868"/>
      <c r="AD172" s="868"/>
      <c r="AE172" s="266"/>
      <c r="AF172" s="266"/>
      <c r="AG172" s="868"/>
      <c r="AH172" s="868"/>
      <c r="AI172" s="868"/>
      <c r="AJ172" s="266"/>
      <c r="AK172" s="266"/>
      <c r="AL172" s="868"/>
      <c r="AM172" s="266"/>
      <c r="AN172" s="868"/>
      <c r="AO172" s="868"/>
      <c r="AP172" s="266"/>
      <c r="AQ172" s="266"/>
    </row>
    <row r="173" spans="1:43" ht="15.75" x14ac:dyDescent="0.25">
      <c r="A173" s="266"/>
      <c r="B173" s="266"/>
      <c r="C173" s="266"/>
      <c r="D173" s="266"/>
      <c r="E173" s="266"/>
      <c r="F173" s="868"/>
      <c r="G173" s="266"/>
      <c r="H173" s="266"/>
      <c r="I173" s="266"/>
      <c r="J173" s="266"/>
      <c r="K173" s="123"/>
      <c r="L173" s="123"/>
      <c r="M173" s="123"/>
      <c r="N173" s="123"/>
      <c r="O173" s="123"/>
      <c r="P173" s="123"/>
      <c r="Q173" s="266"/>
      <c r="R173" s="123"/>
      <c r="S173" s="266"/>
      <c r="T173" s="266"/>
      <c r="U173" s="266"/>
      <c r="V173" s="266"/>
      <c r="W173" s="266"/>
      <c r="X173" s="123"/>
      <c r="Y173" s="123"/>
      <c r="Z173" s="123"/>
      <c r="AA173" s="123"/>
      <c r="AB173" s="868"/>
      <c r="AC173" s="868"/>
      <c r="AD173" s="868"/>
      <c r="AE173" s="266"/>
      <c r="AF173" s="266"/>
      <c r="AG173" s="868"/>
      <c r="AH173" s="868"/>
      <c r="AI173" s="868"/>
      <c r="AJ173" s="266"/>
      <c r="AK173" s="266"/>
      <c r="AL173" s="868"/>
      <c r="AM173" s="266"/>
      <c r="AN173" s="868"/>
      <c r="AO173" s="868"/>
      <c r="AP173" s="266"/>
      <c r="AQ173" s="266"/>
    </row>
    <row r="174" spans="1:43" ht="15.75" x14ac:dyDescent="0.25">
      <c r="A174" s="266"/>
      <c r="B174" s="266"/>
      <c r="C174" s="266"/>
      <c r="D174" s="266"/>
      <c r="E174" s="266"/>
      <c r="F174" s="868"/>
      <c r="G174" s="266"/>
      <c r="H174" s="266"/>
      <c r="I174" s="266"/>
      <c r="J174" s="266"/>
      <c r="K174" s="123"/>
      <c r="L174" s="123"/>
      <c r="M174" s="123"/>
      <c r="N174" s="123"/>
      <c r="O174" s="123"/>
      <c r="P174" s="123"/>
      <c r="Q174" s="266"/>
      <c r="R174" s="123"/>
      <c r="S174" s="266"/>
      <c r="T174" s="266"/>
      <c r="U174" s="266"/>
      <c r="V174" s="266"/>
      <c r="W174" s="266"/>
      <c r="X174" s="123"/>
      <c r="Y174" s="123"/>
      <c r="Z174" s="123"/>
      <c r="AA174" s="123"/>
      <c r="AB174" s="868"/>
      <c r="AC174" s="868"/>
      <c r="AD174" s="868"/>
      <c r="AE174" s="266"/>
      <c r="AF174" s="266"/>
      <c r="AG174" s="868"/>
      <c r="AH174" s="868"/>
      <c r="AI174" s="868"/>
      <c r="AJ174" s="266"/>
      <c r="AK174" s="266"/>
      <c r="AL174" s="868"/>
      <c r="AM174" s="266"/>
      <c r="AN174" s="868"/>
      <c r="AO174" s="868"/>
      <c r="AP174" s="266"/>
      <c r="AQ174" s="266"/>
    </row>
    <row r="175" spans="1:43" ht="15.75" x14ac:dyDescent="0.25">
      <c r="A175" s="266"/>
      <c r="B175" s="266"/>
      <c r="C175" s="266"/>
      <c r="D175" s="266"/>
      <c r="E175" s="266"/>
      <c r="F175" s="868"/>
      <c r="G175" s="266"/>
      <c r="H175" s="266"/>
      <c r="I175" s="266"/>
      <c r="J175" s="266"/>
      <c r="K175" s="123"/>
      <c r="L175" s="123"/>
      <c r="M175" s="123"/>
      <c r="N175" s="123"/>
      <c r="O175" s="123"/>
      <c r="P175" s="123"/>
      <c r="Q175" s="266"/>
      <c r="R175" s="123"/>
      <c r="S175" s="266"/>
      <c r="T175" s="266"/>
      <c r="U175" s="266"/>
      <c r="V175" s="266"/>
      <c r="W175" s="266"/>
      <c r="X175" s="123"/>
      <c r="Y175" s="123"/>
      <c r="Z175" s="123"/>
      <c r="AA175" s="123"/>
      <c r="AB175" s="868"/>
      <c r="AC175" s="868"/>
      <c r="AD175" s="868"/>
      <c r="AE175" s="266"/>
      <c r="AF175" s="266"/>
      <c r="AG175" s="868"/>
      <c r="AH175" s="868"/>
      <c r="AI175" s="868"/>
      <c r="AJ175" s="266"/>
      <c r="AK175" s="266"/>
      <c r="AL175" s="868"/>
      <c r="AM175" s="266"/>
      <c r="AN175" s="868"/>
      <c r="AO175" s="868"/>
      <c r="AP175" s="266"/>
      <c r="AQ175" s="266"/>
    </row>
    <row r="176" spans="1:43" ht="15.75" x14ac:dyDescent="0.25">
      <c r="A176" s="266"/>
      <c r="B176" s="266"/>
      <c r="C176" s="266"/>
      <c r="D176" s="266"/>
      <c r="E176" s="266"/>
      <c r="F176" s="868"/>
      <c r="G176" s="266"/>
      <c r="H176" s="266"/>
      <c r="I176" s="266"/>
      <c r="J176" s="266"/>
      <c r="K176" s="123"/>
      <c r="L176" s="123"/>
      <c r="M176" s="123"/>
      <c r="N176" s="123"/>
      <c r="O176" s="123"/>
      <c r="P176" s="123"/>
      <c r="Q176" s="266"/>
      <c r="R176" s="123"/>
      <c r="S176" s="266"/>
      <c r="T176" s="266"/>
      <c r="U176" s="266"/>
      <c r="V176" s="266"/>
      <c r="W176" s="266"/>
      <c r="X176" s="123"/>
      <c r="Y176" s="123"/>
      <c r="Z176" s="123"/>
      <c r="AA176" s="123"/>
      <c r="AB176" s="868"/>
      <c r="AC176" s="868"/>
      <c r="AD176" s="868"/>
      <c r="AE176" s="266"/>
      <c r="AF176" s="266"/>
      <c r="AG176" s="868"/>
      <c r="AH176" s="868"/>
      <c r="AI176" s="868"/>
      <c r="AJ176" s="266"/>
      <c r="AK176" s="266"/>
      <c r="AL176" s="868"/>
      <c r="AM176" s="266"/>
      <c r="AN176" s="868"/>
      <c r="AO176" s="868"/>
      <c r="AP176" s="266"/>
      <c r="AQ176" s="266"/>
    </row>
    <row r="177" spans="1:43" ht="15.75" x14ac:dyDescent="0.25">
      <c r="A177" s="266"/>
      <c r="B177" s="266"/>
      <c r="C177" s="266"/>
      <c r="D177" s="266"/>
      <c r="E177" s="266"/>
      <c r="F177" s="868"/>
      <c r="G177" s="266"/>
      <c r="H177" s="266"/>
      <c r="I177" s="266"/>
      <c r="J177" s="266"/>
      <c r="K177" s="123"/>
      <c r="L177" s="123"/>
      <c r="M177" s="123"/>
      <c r="N177" s="123"/>
      <c r="O177" s="123"/>
      <c r="P177" s="123"/>
      <c r="Q177" s="266"/>
      <c r="R177" s="123"/>
      <c r="S177" s="266"/>
      <c r="T177" s="266"/>
      <c r="U177" s="266"/>
      <c r="V177" s="266"/>
      <c r="W177" s="266"/>
      <c r="X177" s="123"/>
      <c r="Y177" s="123"/>
      <c r="Z177" s="123"/>
      <c r="AA177" s="123"/>
      <c r="AB177" s="868"/>
      <c r="AC177" s="868"/>
      <c r="AD177" s="868"/>
      <c r="AE177" s="266"/>
      <c r="AF177" s="266"/>
      <c r="AG177" s="868"/>
      <c r="AH177" s="868"/>
      <c r="AI177" s="868"/>
      <c r="AJ177" s="266"/>
      <c r="AK177" s="266"/>
      <c r="AL177" s="868"/>
      <c r="AM177" s="266"/>
      <c r="AN177" s="868"/>
      <c r="AO177" s="868"/>
      <c r="AP177" s="266"/>
      <c r="AQ177" s="266"/>
    </row>
    <row r="178" spans="1:43" ht="15.75" x14ac:dyDescent="0.25">
      <c r="A178" s="266"/>
      <c r="B178" s="266"/>
      <c r="C178" s="266"/>
      <c r="D178" s="266"/>
      <c r="E178" s="266"/>
      <c r="F178" s="868"/>
      <c r="G178" s="266"/>
      <c r="H178" s="266"/>
      <c r="I178" s="266"/>
      <c r="J178" s="266"/>
      <c r="K178" s="123"/>
      <c r="L178" s="123"/>
      <c r="M178" s="123"/>
      <c r="N178" s="123"/>
      <c r="O178" s="123"/>
      <c r="P178" s="123"/>
      <c r="Q178" s="266"/>
      <c r="R178" s="123"/>
      <c r="S178" s="266"/>
      <c r="T178" s="266"/>
      <c r="U178" s="266"/>
      <c r="V178" s="266"/>
      <c r="W178" s="266"/>
      <c r="X178" s="123"/>
      <c r="Y178" s="123"/>
      <c r="Z178" s="123"/>
      <c r="AA178" s="123"/>
      <c r="AB178" s="868"/>
      <c r="AC178" s="868"/>
      <c r="AD178" s="868"/>
      <c r="AE178" s="266"/>
      <c r="AF178" s="266"/>
      <c r="AG178" s="868"/>
      <c r="AH178" s="868"/>
      <c r="AI178" s="868"/>
      <c r="AJ178" s="266"/>
      <c r="AK178" s="266"/>
      <c r="AL178" s="868"/>
      <c r="AM178" s="266"/>
      <c r="AN178" s="868"/>
      <c r="AO178" s="868"/>
      <c r="AP178" s="266"/>
      <c r="AQ178" s="266"/>
    </row>
    <row r="179" spans="1:43" ht="15.75" x14ac:dyDescent="0.25">
      <c r="A179" s="266"/>
      <c r="B179" s="266"/>
      <c r="C179" s="266"/>
      <c r="D179" s="266"/>
      <c r="E179" s="266"/>
      <c r="F179" s="868"/>
      <c r="G179" s="266"/>
      <c r="H179" s="266"/>
      <c r="I179" s="266"/>
      <c r="J179" s="266"/>
      <c r="K179" s="123"/>
      <c r="L179" s="123"/>
      <c r="M179" s="123"/>
      <c r="N179" s="123"/>
      <c r="O179" s="123"/>
      <c r="P179" s="123"/>
      <c r="Q179" s="266"/>
      <c r="R179" s="123"/>
      <c r="S179" s="266"/>
      <c r="T179" s="266"/>
      <c r="U179" s="266"/>
      <c r="V179" s="266"/>
      <c r="W179" s="266"/>
      <c r="X179" s="123"/>
      <c r="Y179" s="123"/>
      <c r="Z179" s="123"/>
      <c r="AA179" s="123"/>
      <c r="AB179" s="868"/>
      <c r="AC179" s="868"/>
      <c r="AD179" s="868"/>
      <c r="AE179" s="266"/>
      <c r="AF179" s="266"/>
      <c r="AG179" s="868"/>
      <c r="AH179" s="868"/>
      <c r="AI179" s="868"/>
      <c r="AJ179" s="266"/>
      <c r="AK179" s="266"/>
      <c r="AL179" s="868"/>
      <c r="AM179" s="266"/>
      <c r="AN179" s="868"/>
      <c r="AO179" s="868"/>
      <c r="AP179" s="266"/>
      <c r="AQ179" s="266"/>
    </row>
    <row r="180" spans="1:43" ht="15.75" x14ac:dyDescent="0.25">
      <c r="A180" s="266"/>
      <c r="B180" s="266"/>
      <c r="C180" s="266"/>
      <c r="D180" s="266"/>
      <c r="E180" s="266"/>
      <c r="F180" s="868"/>
      <c r="G180" s="266"/>
      <c r="H180" s="266"/>
      <c r="I180" s="266"/>
      <c r="J180" s="266"/>
      <c r="K180" s="123"/>
      <c r="L180" s="123"/>
      <c r="M180" s="123"/>
      <c r="N180" s="123"/>
      <c r="O180" s="123"/>
      <c r="P180" s="123"/>
      <c r="Q180" s="266"/>
      <c r="R180" s="123"/>
      <c r="S180" s="266"/>
      <c r="T180" s="266"/>
      <c r="U180" s="266"/>
      <c r="V180" s="266"/>
      <c r="W180" s="266"/>
      <c r="X180" s="123"/>
      <c r="Y180" s="123"/>
      <c r="Z180" s="123"/>
      <c r="AA180" s="123"/>
      <c r="AB180" s="868"/>
      <c r="AC180" s="868"/>
      <c r="AD180" s="868"/>
      <c r="AE180" s="266"/>
      <c r="AF180" s="266"/>
      <c r="AG180" s="868"/>
      <c r="AH180" s="868"/>
      <c r="AI180" s="868"/>
      <c r="AJ180" s="266"/>
      <c r="AK180" s="266"/>
      <c r="AL180" s="868"/>
      <c r="AM180" s="266"/>
      <c r="AN180" s="868"/>
      <c r="AO180" s="868"/>
      <c r="AP180" s="266"/>
      <c r="AQ180" s="266"/>
    </row>
    <row r="181" spans="1:43" ht="15.75" x14ac:dyDescent="0.25">
      <c r="A181" s="266"/>
      <c r="B181" s="266"/>
      <c r="C181" s="266"/>
      <c r="D181" s="266"/>
      <c r="E181" s="266"/>
      <c r="F181" s="868"/>
      <c r="G181" s="266"/>
      <c r="H181" s="266"/>
      <c r="I181" s="266"/>
      <c r="J181" s="266"/>
      <c r="K181" s="123"/>
      <c r="L181" s="123"/>
      <c r="M181" s="123"/>
      <c r="N181" s="123"/>
      <c r="O181" s="123"/>
      <c r="P181" s="123"/>
      <c r="Q181" s="266"/>
      <c r="R181" s="123"/>
      <c r="S181" s="266"/>
      <c r="T181" s="266"/>
      <c r="U181" s="266"/>
      <c r="V181" s="266"/>
      <c r="W181" s="266"/>
      <c r="X181" s="123"/>
      <c r="Y181" s="123"/>
      <c r="Z181" s="123"/>
      <c r="AA181" s="123"/>
      <c r="AB181" s="868"/>
      <c r="AC181" s="868"/>
      <c r="AD181" s="868"/>
      <c r="AE181" s="266"/>
      <c r="AF181" s="266"/>
      <c r="AG181" s="868"/>
      <c r="AH181" s="868"/>
      <c r="AI181" s="868"/>
      <c r="AJ181" s="266"/>
      <c r="AK181" s="266"/>
      <c r="AL181" s="868"/>
      <c r="AM181" s="266"/>
      <c r="AN181" s="868"/>
      <c r="AO181" s="868"/>
      <c r="AP181" s="266"/>
      <c r="AQ181" s="266"/>
    </row>
    <row r="182" spans="1:43" ht="15.75" x14ac:dyDescent="0.25">
      <c r="A182" s="266"/>
      <c r="B182" s="266"/>
      <c r="C182" s="266"/>
      <c r="D182" s="266"/>
      <c r="E182" s="266"/>
      <c r="F182" s="868"/>
      <c r="G182" s="266"/>
      <c r="H182" s="266"/>
      <c r="I182" s="266"/>
      <c r="J182" s="266"/>
      <c r="K182" s="123"/>
      <c r="L182" s="123"/>
      <c r="M182" s="123"/>
      <c r="N182" s="123"/>
      <c r="O182" s="123"/>
      <c r="P182" s="123"/>
      <c r="Q182" s="266"/>
      <c r="R182" s="123"/>
      <c r="S182" s="266"/>
      <c r="T182" s="266"/>
      <c r="U182" s="266"/>
      <c r="V182" s="266"/>
      <c r="W182" s="266"/>
      <c r="X182" s="123"/>
      <c r="Y182" s="123"/>
      <c r="Z182" s="123"/>
      <c r="AA182" s="123"/>
      <c r="AB182" s="868"/>
      <c r="AC182" s="868"/>
      <c r="AD182" s="868"/>
      <c r="AE182" s="266"/>
      <c r="AF182" s="266"/>
      <c r="AG182" s="868"/>
      <c r="AH182" s="868"/>
      <c r="AI182" s="868"/>
      <c r="AJ182" s="266"/>
      <c r="AK182" s="266"/>
      <c r="AL182" s="868"/>
      <c r="AM182" s="266"/>
      <c r="AN182" s="868"/>
      <c r="AO182" s="868"/>
      <c r="AP182" s="266"/>
      <c r="AQ182" s="266"/>
    </row>
    <row r="183" spans="1:43" ht="15.75" x14ac:dyDescent="0.25">
      <c r="A183" s="266"/>
      <c r="B183" s="266"/>
      <c r="C183" s="266"/>
      <c r="D183" s="266"/>
      <c r="E183" s="266"/>
      <c r="F183" s="868"/>
      <c r="G183" s="266"/>
      <c r="H183" s="266"/>
      <c r="I183" s="266"/>
      <c r="J183" s="266"/>
      <c r="K183" s="123"/>
      <c r="L183" s="123"/>
      <c r="M183" s="123"/>
      <c r="N183" s="123"/>
      <c r="O183" s="123"/>
      <c r="P183" s="123"/>
      <c r="Q183" s="266"/>
      <c r="R183" s="123"/>
      <c r="S183" s="266"/>
      <c r="T183" s="266"/>
      <c r="U183" s="266"/>
      <c r="V183" s="266"/>
      <c r="W183" s="266"/>
      <c r="X183" s="123"/>
      <c r="Y183" s="123"/>
      <c r="Z183" s="123"/>
      <c r="AA183" s="123"/>
      <c r="AB183" s="868"/>
      <c r="AC183" s="868"/>
      <c r="AD183" s="868"/>
      <c r="AE183" s="266"/>
      <c r="AF183" s="266"/>
      <c r="AG183" s="868"/>
      <c r="AH183" s="868"/>
      <c r="AI183" s="868"/>
      <c r="AJ183" s="266"/>
      <c r="AK183" s="266"/>
      <c r="AL183" s="868"/>
      <c r="AM183" s="266"/>
      <c r="AN183" s="868"/>
      <c r="AO183" s="868"/>
      <c r="AP183" s="266"/>
      <c r="AQ183" s="266"/>
    </row>
    <row r="184" spans="1:43" ht="15.75" x14ac:dyDescent="0.25">
      <c r="A184" s="266"/>
      <c r="B184" s="266"/>
      <c r="C184" s="266"/>
      <c r="D184" s="266"/>
      <c r="E184" s="266"/>
      <c r="F184" s="868"/>
      <c r="G184" s="266"/>
      <c r="H184" s="266"/>
      <c r="I184" s="266"/>
      <c r="J184" s="266"/>
      <c r="K184" s="123"/>
      <c r="L184" s="123"/>
      <c r="M184" s="123"/>
      <c r="N184" s="123"/>
      <c r="O184" s="123"/>
      <c r="P184" s="123"/>
      <c r="Q184" s="266"/>
      <c r="R184" s="123"/>
      <c r="S184" s="266"/>
      <c r="T184" s="266"/>
      <c r="U184" s="266"/>
      <c r="V184" s="266"/>
      <c r="W184" s="266"/>
      <c r="X184" s="123"/>
      <c r="Y184" s="123"/>
      <c r="Z184" s="123"/>
      <c r="AA184" s="123"/>
      <c r="AB184" s="868"/>
      <c r="AC184" s="868"/>
      <c r="AD184" s="868"/>
      <c r="AE184" s="266"/>
      <c r="AF184" s="266"/>
      <c r="AG184" s="868"/>
      <c r="AH184" s="868"/>
      <c r="AI184" s="868"/>
      <c r="AJ184" s="266"/>
      <c r="AK184" s="266"/>
      <c r="AL184" s="868"/>
      <c r="AM184" s="266"/>
      <c r="AN184" s="868"/>
      <c r="AO184" s="868"/>
      <c r="AP184" s="266"/>
      <c r="AQ184" s="266"/>
    </row>
    <row r="185" spans="1:43" ht="15.75" x14ac:dyDescent="0.25">
      <c r="A185" s="266"/>
      <c r="B185" s="266"/>
      <c r="C185" s="266"/>
      <c r="D185" s="266"/>
      <c r="E185" s="266"/>
      <c r="F185" s="868"/>
      <c r="G185" s="266"/>
      <c r="H185" s="266"/>
      <c r="I185" s="266"/>
      <c r="J185" s="266"/>
      <c r="K185" s="123"/>
      <c r="L185" s="123"/>
      <c r="M185" s="123"/>
      <c r="N185" s="123"/>
      <c r="O185" s="123"/>
      <c r="P185" s="123"/>
      <c r="Q185" s="266"/>
      <c r="R185" s="123"/>
      <c r="S185" s="266"/>
      <c r="T185" s="266"/>
      <c r="U185" s="266"/>
      <c r="V185" s="266"/>
      <c r="W185" s="266"/>
      <c r="X185" s="123"/>
      <c r="Y185" s="123"/>
      <c r="Z185" s="123"/>
      <c r="AA185" s="123"/>
      <c r="AB185" s="868"/>
      <c r="AC185" s="868"/>
      <c r="AD185" s="868"/>
      <c r="AE185" s="266"/>
      <c r="AF185" s="266"/>
      <c r="AG185" s="868"/>
      <c r="AH185" s="868"/>
      <c r="AI185" s="868"/>
      <c r="AJ185" s="266"/>
      <c r="AK185" s="266"/>
      <c r="AL185" s="868"/>
      <c r="AM185" s="266"/>
      <c r="AN185" s="868"/>
      <c r="AO185" s="868"/>
      <c r="AP185" s="266"/>
      <c r="AQ185" s="266"/>
    </row>
    <row r="186" spans="1:43" ht="15.75" x14ac:dyDescent="0.25">
      <c r="A186" s="266"/>
      <c r="B186" s="266"/>
      <c r="C186" s="266"/>
      <c r="D186" s="266"/>
      <c r="E186" s="266"/>
      <c r="F186" s="868"/>
      <c r="G186" s="266"/>
      <c r="H186" s="266"/>
      <c r="I186" s="266"/>
      <c r="J186" s="266"/>
      <c r="K186" s="123"/>
      <c r="L186" s="123"/>
      <c r="M186" s="123"/>
      <c r="N186" s="123"/>
      <c r="O186" s="123"/>
      <c r="P186" s="123"/>
      <c r="Q186" s="266"/>
      <c r="R186" s="123"/>
      <c r="S186" s="266"/>
      <c r="T186" s="266"/>
      <c r="U186" s="266"/>
      <c r="V186" s="266"/>
      <c r="W186" s="266"/>
      <c r="X186" s="123"/>
      <c r="Y186" s="123"/>
      <c r="Z186" s="123"/>
      <c r="AA186" s="123"/>
      <c r="AB186" s="868"/>
      <c r="AC186" s="868"/>
      <c r="AD186" s="868"/>
      <c r="AE186" s="266"/>
      <c r="AF186" s="266"/>
      <c r="AG186" s="868"/>
      <c r="AH186" s="868"/>
      <c r="AI186" s="868"/>
      <c r="AJ186" s="266"/>
      <c r="AK186" s="266"/>
      <c r="AL186" s="868"/>
      <c r="AM186" s="266"/>
      <c r="AN186" s="868"/>
      <c r="AO186" s="868"/>
      <c r="AP186" s="266"/>
      <c r="AQ186" s="266"/>
    </row>
    <row r="187" spans="1:43" ht="15.75" x14ac:dyDescent="0.25">
      <c r="A187" s="266"/>
      <c r="B187" s="266"/>
      <c r="C187" s="266"/>
      <c r="D187" s="266"/>
      <c r="E187" s="266"/>
      <c r="F187" s="868"/>
      <c r="G187" s="266"/>
      <c r="H187" s="266"/>
      <c r="I187" s="266"/>
      <c r="J187" s="266"/>
      <c r="K187" s="123"/>
      <c r="L187" s="123"/>
      <c r="M187" s="123"/>
      <c r="N187" s="123"/>
      <c r="O187" s="123"/>
      <c r="P187" s="123"/>
      <c r="Q187" s="266"/>
      <c r="R187" s="123"/>
      <c r="S187" s="266"/>
      <c r="T187" s="266"/>
      <c r="U187" s="266"/>
      <c r="V187" s="266"/>
      <c r="W187" s="266"/>
      <c r="X187" s="123"/>
      <c r="Y187" s="123"/>
      <c r="Z187" s="123"/>
      <c r="AA187" s="123"/>
      <c r="AB187" s="868"/>
      <c r="AC187" s="868"/>
      <c r="AD187" s="868"/>
      <c r="AE187" s="266"/>
      <c r="AF187" s="266"/>
      <c r="AG187" s="868"/>
      <c r="AH187" s="868"/>
      <c r="AI187" s="868"/>
      <c r="AJ187" s="266"/>
      <c r="AK187" s="266"/>
      <c r="AL187" s="868"/>
      <c r="AM187" s="266"/>
      <c r="AN187" s="868"/>
      <c r="AO187" s="868"/>
      <c r="AP187" s="266"/>
      <c r="AQ187" s="266"/>
    </row>
    <row r="188" spans="1:43" ht="15.75" x14ac:dyDescent="0.25">
      <c r="A188" s="266"/>
      <c r="B188" s="266"/>
      <c r="C188" s="266"/>
      <c r="D188" s="266"/>
      <c r="E188" s="266"/>
      <c r="F188" s="868"/>
      <c r="G188" s="266"/>
      <c r="H188" s="266"/>
      <c r="I188" s="266"/>
      <c r="J188" s="266"/>
      <c r="K188" s="123"/>
      <c r="L188" s="123"/>
      <c r="M188" s="123"/>
      <c r="N188" s="123"/>
      <c r="O188" s="123"/>
      <c r="P188" s="123"/>
      <c r="Q188" s="266"/>
      <c r="R188" s="123"/>
      <c r="S188" s="266"/>
      <c r="T188" s="266"/>
      <c r="U188" s="266"/>
      <c r="V188" s="266"/>
      <c r="W188" s="266"/>
      <c r="X188" s="123"/>
      <c r="Y188" s="123"/>
      <c r="Z188" s="123"/>
      <c r="AA188" s="123"/>
      <c r="AB188" s="868"/>
      <c r="AC188" s="868"/>
      <c r="AD188" s="868"/>
      <c r="AE188" s="266"/>
      <c r="AF188" s="266"/>
      <c r="AG188" s="868"/>
      <c r="AH188" s="868"/>
      <c r="AI188" s="868"/>
      <c r="AJ188" s="266"/>
      <c r="AK188" s="266"/>
      <c r="AL188" s="868"/>
      <c r="AM188" s="266"/>
      <c r="AN188" s="868"/>
      <c r="AO188" s="868"/>
      <c r="AP188" s="266"/>
      <c r="AQ188" s="266"/>
    </row>
    <row r="189" spans="1:43" ht="15.75" x14ac:dyDescent="0.25">
      <c r="A189" s="266"/>
      <c r="B189" s="266"/>
      <c r="C189" s="266"/>
      <c r="D189" s="266"/>
      <c r="E189" s="266"/>
      <c r="F189" s="868"/>
      <c r="G189" s="266"/>
      <c r="H189" s="266"/>
      <c r="I189" s="266"/>
      <c r="J189" s="266"/>
      <c r="K189" s="123"/>
      <c r="L189" s="123"/>
      <c r="M189" s="123"/>
      <c r="N189" s="123"/>
      <c r="O189" s="123"/>
      <c r="P189" s="123"/>
      <c r="Q189" s="266"/>
      <c r="R189" s="123"/>
      <c r="S189" s="266"/>
      <c r="T189" s="266"/>
      <c r="U189" s="266"/>
      <c r="V189" s="266"/>
      <c r="W189" s="266"/>
      <c r="X189" s="123"/>
      <c r="Y189" s="123"/>
      <c r="Z189" s="123"/>
      <c r="AA189" s="123"/>
      <c r="AB189" s="868"/>
      <c r="AC189" s="868"/>
      <c r="AD189" s="868"/>
      <c r="AE189" s="266"/>
      <c r="AF189" s="266"/>
      <c r="AG189" s="868"/>
      <c r="AH189" s="868"/>
      <c r="AI189" s="868"/>
      <c r="AJ189" s="266"/>
      <c r="AK189" s="266"/>
      <c r="AL189" s="868"/>
      <c r="AM189" s="266"/>
      <c r="AN189" s="868"/>
      <c r="AO189" s="868"/>
      <c r="AP189" s="266"/>
      <c r="AQ189" s="266"/>
    </row>
    <row r="190" spans="1:43" ht="15.75" x14ac:dyDescent="0.25">
      <c r="A190" s="266"/>
      <c r="B190" s="266"/>
      <c r="C190" s="266"/>
      <c r="D190" s="266"/>
      <c r="E190" s="266"/>
      <c r="F190" s="868"/>
      <c r="G190" s="266"/>
      <c r="H190" s="266"/>
      <c r="I190" s="266"/>
      <c r="J190" s="266"/>
      <c r="K190" s="123"/>
      <c r="L190" s="123"/>
      <c r="M190" s="123"/>
      <c r="N190" s="123"/>
      <c r="O190" s="123"/>
      <c r="P190" s="123"/>
      <c r="Q190" s="266"/>
      <c r="R190" s="123"/>
      <c r="S190" s="266"/>
      <c r="T190" s="266"/>
      <c r="U190" s="266"/>
      <c r="V190" s="266"/>
      <c r="W190" s="266"/>
      <c r="X190" s="123"/>
      <c r="Y190" s="123"/>
      <c r="Z190" s="123"/>
      <c r="AA190" s="123"/>
      <c r="AB190" s="868"/>
      <c r="AC190" s="868"/>
      <c r="AD190" s="868"/>
      <c r="AE190" s="266"/>
      <c r="AF190" s="266"/>
      <c r="AG190" s="868"/>
      <c r="AH190" s="868"/>
      <c r="AI190" s="868"/>
      <c r="AJ190" s="266"/>
      <c r="AK190" s="266"/>
      <c r="AL190" s="868"/>
      <c r="AM190" s="266"/>
      <c r="AN190" s="868"/>
      <c r="AO190" s="868"/>
      <c r="AP190" s="266"/>
      <c r="AQ190" s="266"/>
    </row>
    <row r="191" spans="1:43" ht="15.75" x14ac:dyDescent="0.25">
      <c r="A191" s="266"/>
      <c r="B191" s="266"/>
      <c r="C191" s="266"/>
      <c r="D191" s="266"/>
      <c r="E191" s="266"/>
      <c r="F191" s="868"/>
      <c r="G191" s="266"/>
      <c r="H191" s="266"/>
      <c r="I191" s="266"/>
      <c r="J191" s="266"/>
      <c r="K191" s="123"/>
      <c r="L191" s="123"/>
      <c r="M191" s="123"/>
      <c r="N191" s="123"/>
      <c r="O191" s="123"/>
      <c r="P191" s="123"/>
      <c r="Q191" s="266"/>
      <c r="R191" s="123"/>
      <c r="S191" s="266"/>
      <c r="T191" s="266"/>
      <c r="U191" s="266"/>
      <c r="V191" s="266"/>
      <c r="W191" s="266"/>
      <c r="X191" s="123"/>
      <c r="Y191" s="123"/>
      <c r="Z191" s="123"/>
      <c r="AA191" s="123"/>
      <c r="AB191" s="868"/>
      <c r="AC191" s="868"/>
      <c r="AD191" s="868"/>
      <c r="AE191" s="266"/>
      <c r="AF191" s="266"/>
      <c r="AG191" s="868"/>
      <c r="AH191" s="868"/>
      <c r="AI191" s="868"/>
      <c r="AJ191" s="266"/>
      <c r="AK191" s="266"/>
      <c r="AL191" s="868"/>
      <c r="AM191" s="266"/>
      <c r="AN191" s="868"/>
      <c r="AO191" s="868"/>
      <c r="AP191" s="266"/>
      <c r="AQ191" s="266"/>
    </row>
    <row r="192" spans="1:43" ht="15.75" x14ac:dyDescent="0.25">
      <c r="A192" s="266"/>
      <c r="B192" s="266"/>
      <c r="C192" s="266"/>
      <c r="D192" s="266"/>
      <c r="E192" s="266"/>
      <c r="F192" s="868"/>
      <c r="G192" s="266"/>
      <c r="H192" s="266"/>
      <c r="I192" s="266"/>
      <c r="J192" s="266"/>
      <c r="K192" s="123"/>
      <c r="L192" s="123"/>
      <c r="M192" s="123"/>
      <c r="N192" s="123"/>
      <c r="O192" s="123"/>
      <c r="P192" s="123"/>
      <c r="Q192" s="266"/>
      <c r="R192" s="123"/>
      <c r="S192" s="266"/>
      <c r="T192" s="266"/>
      <c r="U192" s="266"/>
      <c r="V192" s="266"/>
      <c r="W192" s="266"/>
      <c r="X192" s="123"/>
      <c r="Y192" s="123"/>
      <c r="Z192" s="123"/>
      <c r="AA192" s="123"/>
      <c r="AB192" s="868"/>
      <c r="AC192" s="868"/>
      <c r="AD192" s="868"/>
      <c r="AE192" s="266"/>
      <c r="AF192" s="266"/>
      <c r="AG192" s="868"/>
      <c r="AH192" s="868"/>
      <c r="AI192" s="868"/>
      <c r="AJ192" s="266"/>
      <c r="AK192" s="266"/>
      <c r="AL192" s="868"/>
      <c r="AM192" s="266"/>
      <c r="AN192" s="868"/>
      <c r="AO192" s="868"/>
      <c r="AP192" s="266"/>
      <c r="AQ192" s="266"/>
    </row>
    <row r="193" spans="1:43" ht="15.75" x14ac:dyDescent="0.25">
      <c r="A193" s="266"/>
      <c r="B193" s="266"/>
      <c r="C193" s="266"/>
      <c r="D193" s="266"/>
      <c r="E193" s="266"/>
      <c r="F193" s="868"/>
      <c r="G193" s="266"/>
      <c r="H193" s="266"/>
      <c r="I193" s="266"/>
      <c r="J193" s="266"/>
      <c r="K193" s="123"/>
      <c r="L193" s="123"/>
      <c r="M193" s="123"/>
      <c r="N193" s="123"/>
      <c r="O193" s="123"/>
      <c r="P193" s="123"/>
      <c r="Q193" s="266"/>
      <c r="R193" s="123"/>
      <c r="S193" s="266"/>
      <c r="T193" s="266"/>
      <c r="U193" s="266"/>
      <c r="V193" s="266"/>
      <c r="W193" s="266"/>
      <c r="X193" s="123"/>
      <c r="Y193" s="123"/>
      <c r="Z193" s="123"/>
      <c r="AA193" s="123"/>
      <c r="AB193" s="868"/>
      <c r="AC193" s="868"/>
      <c r="AD193" s="868"/>
      <c r="AE193" s="266"/>
      <c r="AF193" s="266"/>
      <c r="AG193" s="868"/>
      <c r="AH193" s="868"/>
      <c r="AI193" s="868"/>
      <c r="AJ193" s="266"/>
      <c r="AK193" s="266"/>
      <c r="AL193" s="868"/>
      <c r="AM193" s="266"/>
      <c r="AN193" s="868"/>
      <c r="AO193" s="868"/>
      <c r="AP193" s="266"/>
      <c r="AQ193" s="266"/>
    </row>
    <row r="194" spans="1:43" ht="15.75" x14ac:dyDescent="0.25">
      <c r="A194" s="266"/>
      <c r="B194" s="266"/>
      <c r="C194" s="266"/>
      <c r="D194" s="266"/>
      <c r="E194" s="266"/>
      <c r="F194" s="868"/>
      <c r="G194" s="266"/>
      <c r="H194" s="266"/>
      <c r="I194" s="266"/>
      <c r="J194" s="266"/>
      <c r="K194" s="123"/>
      <c r="L194" s="123"/>
      <c r="M194" s="123"/>
      <c r="N194" s="123"/>
      <c r="O194" s="123"/>
      <c r="P194" s="123"/>
      <c r="Q194" s="266"/>
      <c r="R194" s="123"/>
      <c r="S194" s="266"/>
      <c r="T194" s="266"/>
      <c r="U194" s="266"/>
      <c r="V194" s="266"/>
      <c r="W194" s="266"/>
      <c r="X194" s="123"/>
      <c r="Y194" s="123"/>
      <c r="Z194" s="123"/>
      <c r="AA194" s="123"/>
      <c r="AB194" s="868"/>
      <c r="AC194" s="868"/>
      <c r="AD194" s="868"/>
      <c r="AE194" s="266"/>
      <c r="AF194" s="266"/>
      <c r="AG194" s="868"/>
      <c r="AH194" s="868"/>
      <c r="AI194" s="868"/>
      <c r="AJ194" s="266"/>
      <c r="AK194" s="266"/>
      <c r="AL194" s="868"/>
      <c r="AM194" s="266"/>
      <c r="AN194" s="868"/>
      <c r="AO194" s="868"/>
      <c r="AP194" s="266"/>
      <c r="AQ194" s="266"/>
    </row>
    <row r="195" spans="1:43" ht="15.75" x14ac:dyDescent="0.25">
      <c r="A195" s="266"/>
      <c r="B195" s="266"/>
      <c r="C195" s="266"/>
      <c r="D195" s="266"/>
      <c r="E195" s="266"/>
      <c r="F195" s="868"/>
      <c r="G195" s="266"/>
      <c r="H195" s="266"/>
      <c r="I195" s="266"/>
      <c r="J195" s="266"/>
      <c r="K195" s="123"/>
      <c r="L195" s="123"/>
      <c r="M195" s="123"/>
      <c r="N195" s="123"/>
      <c r="O195" s="123"/>
      <c r="P195" s="123"/>
      <c r="Q195" s="266"/>
      <c r="R195" s="123"/>
      <c r="S195" s="266"/>
      <c r="T195" s="266"/>
      <c r="U195" s="266"/>
      <c r="V195" s="266"/>
      <c r="W195" s="266"/>
      <c r="X195" s="123"/>
      <c r="Y195" s="123"/>
      <c r="Z195" s="123"/>
      <c r="AA195" s="123"/>
      <c r="AB195" s="868"/>
      <c r="AC195" s="868"/>
      <c r="AD195" s="868"/>
      <c r="AE195" s="266"/>
      <c r="AF195" s="266"/>
      <c r="AG195" s="868"/>
      <c r="AH195" s="868"/>
      <c r="AI195" s="868"/>
      <c r="AJ195" s="266"/>
      <c r="AK195" s="266"/>
      <c r="AL195" s="868"/>
      <c r="AM195" s="266"/>
      <c r="AN195" s="868"/>
      <c r="AO195" s="868"/>
      <c r="AP195" s="266"/>
      <c r="AQ195" s="266"/>
    </row>
    <row r="196" spans="1:43" ht="15.75" x14ac:dyDescent="0.25">
      <c r="A196" s="266"/>
      <c r="B196" s="266"/>
      <c r="C196" s="266"/>
      <c r="D196" s="266"/>
      <c r="E196" s="266"/>
      <c r="F196" s="868"/>
      <c r="G196" s="266"/>
      <c r="H196" s="266"/>
      <c r="I196" s="266"/>
      <c r="J196" s="266"/>
      <c r="K196" s="123"/>
      <c r="L196" s="123"/>
      <c r="M196" s="123"/>
      <c r="N196" s="123"/>
      <c r="O196" s="123"/>
      <c r="P196" s="123"/>
      <c r="Q196" s="266"/>
      <c r="R196" s="123"/>
      <c r="S196" s="266"/>
      <c r="T196" s="266"/>
      <c r="U196" s="266"/>
      <c r="V196" s="266"/>
      <c r="W196" s="266"/>
      <c r="X196" s="123"/>
      <c r="Y196" s="123"/>
      <c r="Z196" s="123"/>
      <c r="AA196" s="123"/>
      <c r="AB196" s="868"/>
      <c r="AC196" s="868"/>
      <c r="AD196" s="868"/>
      <c r="AE196" s="266"/>
      <c r="AF196" s="266"/>
      <c r="AG196" s="868"/>
      <c r="AH196" s="868"/>
      <c r="AI196" s="868"/>
      <c r="AJ196" s="266"/>
      <c r="AK196" s="266"/>
      <c r="AL196" s="868"/>
      <c r="AM196" s="266"/>
      <c r="AN196" s="868"/>
      <c r="AO196" s="868"/>
      <c r="AP196" s="266"/>
      <c r="AQ196" s="266"/>
    </row>
    <row r="197" spans="1:43" ht="15.75" x14ac:dyDescent="0.25">
      <c r="A197" s="266"/>
      <c r="B197" s="266"/>
      <c r="C197" s="266"/>
      <c r="D197" s="266"/>
      <c r="E197" s="266"/>
      <c r="F197" s="868"/>
      <c r="G197" s="266"/>
      <c r="H197" s="266"/>
      <c r="I197" s="266"/>
      <c r="J197" s="266"/>
      <c r="K197" s="123"/>
      <c r="L197" s="123"/>
      <c r="M197" s="123"/>
      <c r="N197" s="123"/>
      <c r="O197" s="123"/>
      <c r="P197" s="123"/>
      <c r="Q197" s="266"/>
      <c r="R197" s="123"/>
      <c r="S197" s="266"/>
      <c r="T197" s="266"/>
      <c r="U197" s="266"/>
      <c r="V197" s="266"/>
      <c r="W197" s="266"/>
      <c r="X197" s="123"/>
      <c r="Y197" s="123"/>
      <c r="Z197" s="123"/>
      <c r="AA197" s="123"/>
      <c r="AB197" s="868"/>
      <c r="AC197" s="868"/>
      <c r="AD197" s="868"/>
      <c r="AE197" s="266"/>
      <c r="AF197" s="266"/>
      <c r="AG197" s="868"/>
      <c r="AH197" s="868"/>
      <c r="AI197" s="868"/>
      <c r="AJ197" s="266"/>
      <c r="AK197" s="266"/>
      <c r="AL197" s="868"/>
      <c r="AM197" s="266"/>
      <c r="AN197" s="868"/>
      <c r="AO197" s="868"/>
      <c r="AP197" s="266"/>
      <c r="AQ197" s="266"/>
    </row>
    <row r="198" spans="1:43" ht="15.75" x14ac:dyDescent="0.25">
      <c r="A198" s="266"/>
      <c r="B198" s="266"/>
      <c r="C198" s="266"/>
      <c r="D198" s="266"/>
      <c r="E198" s="266"/>
      <c r="F198" s="868"/>
      <c r="G198" s="266"/>
      <c r="H198" s="266"/>
      <c r="I198" s="266"/>
      <c r="J198" s="266"/>
      <c r="K198" s="123"/>
      <c r="L198" s="123"/>
      <c r="M198" s="123"/>
      <c r="N198" s="123"/>
      <c r="O198" s="123"/>
      <c r="P198" s="123"/>
      <c r="Q198" s="266"/>
      <c r="R198" s="123"/>
      <c r="S198" s="266"/>
      <c r="T198" s="266"/>
      <c r="U198" s="266"/>
      <c r="V198" s="266"/>
      <c r="W198" s="266"/>
      <c r="X198" s="123"/>
      <c r="Y198" s="123"/>
      <c r="Z198" s="123"/>
      <c r="AA198" s="123"/>
      <c r="AB198" s="868"/>
      <c r="AC198" s="868"/>
      <c r="AD198" s="868"/>
      <c r="AE198" s="266"/>
      <c r="AF198" s="266"/>
      <c r="AG198" s="868"/>
      <c r="AH198" s="868"/>
      <c r="AI198" s="868"/>
      <c r="AJ198" s="266"/>
      <c r="AK198" s="266"/>
      <c r="AL198" s="868"/>
      <c r="AM198" s="266"/>
      <c r="AN198" s="868"/>
      <c r="AO198" s="868"/>
      <c r="AP198" s="266"/>
      <c r="AQ198" s="266"/>
    </row>
    <row r="199" spans="1:43" ht="15.75" x14ac:dyDescent="0.25">
      <c r="A199" s="266"/>
      <c r="B199" s="266"/>
      <c r="C199" s="266"/>
      <c r="D199" s="266"/>
      <c r="E199" s="266"/>
      <c r="F199" s="868"/>
      <c r="G199" s="266"/>
      <c r="H199" s="266"/>
      <c r="I199" s="266"/>
      <c r="J199" s="266"/>
      <c r="K199" s="123"/>
      <c r="L199" s="123"/>
      <c r="M199" s="123"/>
      <c r="N199" s="123"/>
      <c r="O199" s="123"/>
      <c r="P199" s="123"/>
      <c r="Q199" s="266"/>
      <c r="R199" s="123"/>
      <c r="S199" s="266"/>
      <c r="T199" s="266"/>
      <c r="U199" s="266"/>
      <c r="V199" s="266"/>
      <c r="W199" s="266"/>
      <c r="X199" s="123"/>
      <c r="Y199" s="123"/>
      <c r="Z199" s="123"/>
      <c r="AA199" s="123"/>
      <c r="AB199" s="868"/>
      <c r="AC199" s="868"/>
      <c r="AD199" s="868"/>
      <c r="AE199" s="266"/>
      <c r="AF199" s="266"/>
      <c r="AG199" s="868"/>
      <c r="AH199" s="868"/>
      <c r="AI199" s="868"/>
      <c r="AJ199" s="266"/>
      <c r="AK199" s="266"/>
      <c r="AL199" s="868"/>
      <c r="AM199" s="266"/>
      <c r="AN199" s="868"/>
      <c r="AO199" s="868"/>
      <c r="AP199" s="266"/>
      <c r="AQ199" s="266"/>
    </row>
    <row r="200" spans="1:43" ht="15.75" x14ac:dyDescent="0.25">
      <c r="A200" s="266"/>
      <c r="B200" s="266"/>
      <c r="C200" s="266"/>
      <c r="D200" s="266"/>
      <c r="E200" s="266"/>
      <c r="F200" s="868"/>
      <c r="G200" s="266"/>
      <c r="H200" s="266"/>
      <c r="I200" s="266"/>
      <c r="J200" s="266"/>
      <c r="K200" s="123"/>
      <c r="L200" s="123"/>
      <c r="M200" s="123"/>
      <c r="N200" s="123"/>
      <c r="O200" s="123"/>
      <c r="P200" s="123"/>
      <c r="Q200" s="266"/>
      <c r="R200" s="123"/>
      <c r="S200" s="266"/>
      <c r="T200" s="266"/>
      <c r="U200" s="266"/>
      <c r="V200" s="266"/>
      <c r="W200" s="266"/>
      <c r="X200" s="123"/>
      <c r="Y200" s="123"/>
      <c r="Z200" s="123"/>
      <c r="AA200" s="123"/>
      <c r="AB200" s="868"/>
      <c r="AC200" s="868"/>
      <c r="AD200" s="868"/>
      <c r="AE200" s="266"/>
      <c r="AF200" s="266"/>
      <c r="AG200" s="868"/>
      <c r="AH200" s="868"/>
      <c r="AI200" s="868"/>
      <c r="AJ200" s="266"/>
      <c r="AK200" s="266"/>
      <c r="AL200" s="868"/>
      <c r="AM200" s="266"/>
      <c r="AN200" s="868"/>
      <c r="AO200" s="868"/>
      <c r="AP200" s="266"/>
      <c r="AQ200" s="266"/>
    </row>
  </sheetData>
  <mergeCells count="29">
    <mergeCell ref="AO4:AO5"/>
    <mergeCell ref="W4:W5"/>
    <mergeCell ref="AM4:AM5"/>
    <mergeCell ref="AG4:AJ4"/>
    <mergeCell ref="X4:AA4"/>
    <mergeCell ref="AC4:AF4"/>
    <mergeCell ref="AN4:AN5"/>
    <mergeCell ref="AL4:AL5"/>
    <mergeCell ref="H4:H5"/>
    <mergeCell ref="I4:I5"/>
    <mergeCell ref="J4:J5"/>
    <mergeCell ref="AG3:AI3"/>
    <mergeCell ref="U4:U5"/>
    <mergeCell ref="T4:T5"/>
    <mergeCell ref="AB4:AB5"/>
    <mergeCell ref="AK4:AK5"/>
    <mergeCell ref="L4:R4"/>
    <mergeCell ref="A1:AE1"/>
    <mergeCell ref="A2:AE2"/>
    <mergeCell ref="A3:AE3"/>
    <mergeCell ref="F4:F5"/>
    <mergeCell ref="B4:B5"/>
    <mergeCell ref="V4:V5"/>
    <mergeCell ref="A4:A5"/>
    <mergeCell ref="C4:C5"/>
    <mergeCell ref="D4:D5"/>
    <mergeCell ref="E4:E5"/>
    <mergeCell ref="K4:K5"/>
    <mergeCell ref="G4:G5"/>
  </mergeCells>
  <dataValidations count="5">
    <dataValidation type="list" errorStyle="warning" allowBlank="1" showInputMessage="1" showErrorMessage="1" sqref="H6:H10 H12:H14 H16:H17 H19:H22 H24" xr:uid="{00000000-0002-0000-0400-000000000000}">
      <formula1>nhomHang</formula1>
    </dataValidation>
    <dataValidation type="list" errorStyle="warning" allowBlank="1" showInputMessage="1" showErrorMessage="1" sqref="J6:J25" xr:uid="{00000000-0002-0000-0400-000001000000}">
      <formula1>PhuongTiens</formula1>
    </dataValidation>
    <dataValidation type="list" errorStyle="warning" allowBlank="1" showInputMessage="1" showErrorMessage="1" sqref="Q6:Q25" xr:uid="{00000000-0002-0000-0400-000002000000}">
      <formula1>LoaiDuongs</formula1>
    </dataValidation>
    <dataValidation type="list" errorStyle="warning" allowBlank="1" showInputMessage="1" showErrorMessage="1" sqref="AG6:AG10 AG12:AG14 AG16:AG17 AG19:AG22 AG24" xr:uid="{00000000-0002-0000-0400-000003000000}">
      <formula1>BocLen</formula1>
    </dataValidation>
    <dataValidation type="list" errorStyle="warning" allowBlank="1" showInputMessage="1" showErrorMessage="1" sqref="AI6:AI10 AI12:AI14 AI16:AI17 AI19:AI22 AI24" xr:uid="{00000000-0002-0000-0400-000004000000}">
      <formula1>BocXuong</formula1>
    </dataValidation>
  </dataValidations>
  <pageMargins left="0.75" right="0.75"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V90"/>
  <sheetViews>
    <sheetView showZeros="0" workbookViewId="0">
      <selection activeCell="C4" sqref="C4"/>
    </sheetView>
  </sheetViews>
  <sheetFormatPr defaultRowHeight="15" x14ac:dyDescent="0.25"/>
  <cols>
    <col min="1" max="1" width="16.85546875" customWidth="1"/>
    <col min="2" max="2" width="18.7109375" customWidth="1"/>
    <col min="3" max="5" width="14.28515625" customWidth="1"/>
    <col min="6" max="6" width="13.140625" customWidth="1"/>
    <col min="7" max="7" width="20.85546875" customWidth="1"/>
    <col min="8" max="8" width="17.7109375" customWidth="1"/>
    <col min="9" max="9" width="7.42578125" customWidth="1"/>
    <col min="10" max="10" width="5.140625" customWidth="1"/>
    <col min="11" max="11" width="10.28515625" customWidth="1"/>
    <col min="12" max="12" width="28.42578125" customWidth="1"/>
    <col min="13" max="13" width="9" customWidth="1"/>
    <col min="14" max="14" width="11" customWidth="1"/>
    <col min="15" max="15" width="13.85546875" customWidth="1"/>
    <col min="16" max="17" width="9.140625" customWidth="1"/>
    <col min="18" max="18" width="9.85546875" customWidth="1"/>
    <col min="19" max="74" width="9" customWidth="1"/>
  </cols>
  <sheetData>
    <row r="1" spans="1:74" ht="15.75" x14ac:dyDescent="0.25">
      <c r="A1" s="630" t="s">
        <v>404</v>
      </c>
      <c r="B1" s="617" t="s">
        <v>73</v>
      </c>
      <c r="C1" s="617" t="s">
        <v>47</v>
      </c>
      <c r="D1" s="617" t="s">
        <v>422</v>
      </c>
      <c r="E1" s="617" t="s">
        <v>819</v>
      </c>
      <c r="F1" s="617" t="s">
        <v>1222</v>
      </c>
      <c r="G1" s="617" t="s">
        <v>1199</v>
      </c>
      <c r="H1" s="2"/>
      <c r="I1" s="2"/>
      <c r="J1" s="2"/>
      <c r="K1" s="161"/>
      <c r="L1" s="2"/>
      <c r="M1" s="2"/>
      <c r="N1" s="2"/>
      <c r="O1" s="2"/>
      <c r="P1" s="2"/>
      <c r="Q1" s="2"/>
      <c r="R1" s="2"/>
      <c r="S1" s="2"/>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c r="AW1" s="357"/>
      <c r="AX1" s="357"/>
      <c r="AY1" s="357"/>
      <c r="AZ1" s="357"/>
      <c r="BA1" s="357"/>
      <c r="BB1" s="357"/>
      <c r="BC1" s="357"/>
      <c r="BD1" s="357"/>
      <c r="BE1" s="357"/>
      <c r="BF1" s="357"/>
      <c r="BG1" s="357"/>
      <c r="BH1" s="357"/>
      <c r="BI1" s="357"/>
      <c r="BJ1" s="357"/>
      <c r="BK1" s="357"/>
      <c r="BL1" s="357"/>
      <c r="BM1" s="357"/>
      <c r="BN1" s="357"/>
      <c r="BO1" s="357"/>
      <c r="BP1" s="357"/>
      <c r="BQ1" s="357"/>
      <c r="BR1" s="357"/>
      <c r="BS1" s="357"/>
      <c r="BT1" s="357"/>
      <c r="BU1" s="357"/>
      <c r="BV1" s="357"/>
    </row>
    <row r="2" spans="1:74" ht="15.4" customHeight="1" x14ac:dyDescent="0.25">
      <c r="A2" s="630" t="s">
        <v>1415</v>
      </c>
      <c r="B2" s="617">
        <v>0.56999999999999995</v>
      </c>
      <c r="C2" s="617">
        <v>0.68</v>
      </c>
      <c r="D2" s="617">
        <v>1</v>
      </c>
      <c r="E2" s="617">
        <v>1.35</v>
      </c>
      <c r="F2" s="617">
        <v>1.5</v>
      </c>
      <c r="G2" s="617">
        <v>1.8</v>
      </c>
      <c r="H2" s="2"/>
      <c r="I2" s="2"/>
      <c r="J2" s="2"/>
      <c r="K2" s="161"/>
      <c r="L2" s="2"/>
      <c r="M2" s="2"/>
      <c r="N2" s="2"/>
      <c r="O2" s="2"/>
      <c r="P2" s="2"/>
      <c r="Q2" s="2"/>
      <c r="R2" s="2"/>
      <c r="S2" s="2"/>
      <c r="T2" s="357"/>
      <c r="U2" s="357"/>
      <c r="V2" s="357"/>
      <c r="W2" s="357"/>
      <c r="X2" s="357"/>
      <c r="Y2" s="357"/>
      <c r="Z2" s="357"/>
      <c r="AA2" s="357"/>
      <c r="AB2" s="357"/>
      <c r="AC2" s="357"/>
      <c r="AD2" s="357"/>
      <c r="AE2" s="357"/>
      <c r="AF2" s="357"/>
      <c r="AG2" s="357"/>
      <c r="AH2" s="357"/>
      <c r="AI2" s="357"/>
      <c r="AJ2" s="357"/>
      <c r="AK2" s="357"/>
      <c r="AL2" s="357"/>
      <c r="AM2" s="357"/>
      <c r="AN2" s="357"/>
      <c r="AO2" s="357"/>
      <c r="AP2" s="357"/>
      <c r="AQ2" s="357"/>
      <c r="AR2" s="357"/>
      <c r="AS2" s="357"/>
      <c r="AT2" s="357"/>
      <c r="AU2" s="357"/>
      <c r="AV2" s="357"/>
      <c r="AW2" s="357"/>
      <c r="AX2" s="357"/>
      <c r="AY2" s="357"/>
      <c r="AZ2" s="357"/>
      <c r="BA2" s="357"/>
      <c r="BB2" s="357"/>
      <c r="BC2" s="357"/>
      <c r="BD2" s="357"/>
      <c r="BE2" s="357"/>
      <c r="BF2" s="357"/>
      <c r="BG2" s="357"/>
      <c r="BH2" s="357"/>
      <c r="BI2" s="357"/>
      <c r="BJ2" s="357"/>
      <c r="BK2" s="357"/>
      <c r="BL2" s="357"/>
      <c r="BM2" s="357"/>
      <c r="BN2" s="357"/>
      <c r="BO2" s="357"/>
      <c r="BP2" s="357"/>
      <c r="BQ2" s="357"/>
      <c r="BR2" s="357"/>
      <c r="BS2" s="357"/>
      <c r="BT2" s="357"/>
      <c r="BU2" s="357"/>
      <c r="BV2" s="357"/>
    </row>
    <row r="3" spans="1:74" ht="15.4" customHeight="1" x14ac:dyDescent="0.25">
      <c r="A3" s="2"/>
      <c r="B3" s="2"/>
      <c r="C3" s="2"/>
      <c r="D3" s="2"/>
      <c r="E3" s="2"/>
      <c r="F3" s="812"/>
      <c r="G3" s="2"/>
      <c r="H3" s="2"/>
      <c r="I3" s="2"/>
      <c r="J3" s="2"/>
      <c r="K3" s="161"/>
      <c r="L3" s="2"/>
      <c r="M3" s="2"/>
      <c r="N3" s="2"/>
      <c r="O3" s="2"/>
      <c r="P3" s="2"/>
      <c r="Q3" s="2"/>
      <c r="R3" s="2"/>
      <c r="S3" s="2"/>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c r="AW3" s="357"/>
      <c r="AX3" s="357"/>
      <c r="AY3" s="357"/>
      <c r="AZ3" s="357"/>
      <c r="BA3" s="357"/>
      <c r="BB3" s="357"/>
      <c r="BC3" s="357"/>
      <c r="BD3" s="357"/>
      <c r="BE3" s="357"/>
      <c r="BF3" s="357"/>
      <c r="BG3" s="357"/>
      <c r="BH3" s="357"/>
      <c r="BI3" s="357"/>
      <c r="BJ3" s="357"/>
      <c r="BK3" s="357"/>
      <c r="BL3" s="357"/>
      <c r="BM3" s="357"/>
      <c r="BN3" s="357"/>
      <c r="BO3" s="357"/>
      <c r="BP3" s="357"/>
      <c r="BQ3" s="357"/>
      <c r="BR3" s="357"/>
      <c r="BS3" s="357"/>
      <c r="BT3" s="357"/>
      <c r="BU3" s="357"/>
      <c r="BV3" s="357"/>
    </row>
    <row r="4" spans="1:74" ht="15.4" customHeight="1" x14ac:dyDescent="0.25">
      <c r="A4" s="630" t="s">
        <v>522</v>
      </c>
      <c r="B4" s="548" t="s">
        <v>387</v>
      </c>
      <c r="C4" s="548" t="s">
        <v>365</v>
      </c>
      <c r="D4" s="548" t="s">
        <v>741</v>
      </c>
      <c r="E4" s="548" t="s">
        <v>1167</v>
      </c>
      <c r="F4" s="812"/>
      <c r="G4" s="2"/>
      <c r="H4" s="2"/>
      <c r="I4" s="2"/>
      <c r="J4" s="1119" t="s">
        <v>659</v>
      </c>
      <c r="K4" s="1119"/>
      <c r="L4" s="1119"/>
      <c r="M4" s="1119"/>
      <c r="N4" s="1119"/>
      <c r="O4" s="1119"/>
      <c r="P4" s="1119"/>
      <c r="Q4" s="1119"/>
      <c r="R4" s="1119"/>
      <c r="S4" s="2"/>
      <c r="T4" s="357"/>
      <c r="U4" s="357"/>
      <c r="V4" s="357"/>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57"/>
      <c r="BE4" s="357"/>
      <c r="BF4" s="357"/>
      <c r="BG4" s="357"/>
      <c r="BH4" s="357"/>
      <c r="BI4" s="357"/>
      <c r="BJ4" s="357"/>
      <c r="BK4" s="357"/>
      <c r="BL4" s="357"/>
      <c r="BM4" s="357"/>
      <c r="BN4" s="357"/>
      <c r="BO4" s="357"/>
      <c r="BP4" s="357"/>
      <c r="BQ4" s="357"/>
      <c r="BR4" s="357"/>
      <c r="BS4" s="357"/>
      <c r="BT4" s="357"/>
      <c r="BU4" s="357"/>
      <c r="BV4" s="357"/>
    </row>
    <row r="5" spans="1:74" ht="15.4" customHeight="1" x14ac:dyDescent="0.25">
      <c r="A5" s="2"/>
      <c r="B5" s="2"/>
      <c r="C5" s="2"/>
      <c r="D5" s="2"/>
      <c r="E5" s="2"/>
      <c r="F5" s="812"/>
      <c r="G5" s="2"/>
      <c r="H5" s="2"/>
      <c r="I5" s="2"/>
      <c r="J5" s="2"/>
      <c r="K5" s="161"/>
      <c r="L5" s="2"/>
      <c r="M5" s="2"/>
      <c r="N5" s="2"/>
      <c r="O5" s="2"/>
      <c r="P5" s="2"/>
      <c r="Q5" s="2"/>
      <c r="R5" s="2"/>
      <c r="S5" s="2"/>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c r="AW5" s="357"/>
      <c r="AX5" s="357"/>
      <c r="AY5" s="357"/>
      <c r="AZ5" s="357"/>
      <c r="BA5" s="357"/>
      <c r="BB5" s="357"/>
      <c r="BC5" s="357"/>
      <c r="BD5" s="357"/>
      <c r="BE5" s="357"/>
      <c r="BF5" s="357"/>
      <c r="BG5" s="357"/>
      <c r="BH5" s="357"/>
      <c r="BI5" s="357"/>
      <c r="BJ5" s="357"/>
      <c r="BK5" s="357"/>
      <c r="BL5" s="357"/>
      <c r="BM5" s="357"/>
      <c r="BN5" s="357"/>
      <c r="BO5" s="357"/>
      <c r="BP5" s="357"/>
      <c r="BQ5" s="357"/>
      <c r="BR5" s="357"/>
      <c r="BS5" s="357"/>
      <c r="BT5" s="357"/>
      <c r="BU5" s="357"/>
      <c r="BV5" s="357"/>
    </row>
    <row r="6" spans="1:74" ht="15.4" customHeight="1" x14ac:dyDescent="0.25">
      <c r="A6" s="1120" t="s">
        <v>713</v>
      </c>
      <c r="B6" s="1120"/>
      <c r="C6" s="1120"/>
      <c r="D6" s="1120"/>
      <c r="E6" s="1120"/>
      <c r="F6" s="1120"/>
      <c r="G6" s="1120"/>
      <c r="H6" s="2"/>
      <c r="I6" s="2"/>
      <c r="J6" s="688">
        <v>1</v>
      </c>
      <c r="K6" s="688" t="s">
        <v>691</v>
      </c>
      <c r="L6" s="688" t="s">
        <v>55</v>
      </c>
      <c r="M6" s="688" t="s">
        <v>1272</v>
      </c>
      <c r="N6" s="688"/>
      <c r="O6" s="67">
        <v>616643000</v>
      </c>
      <c r="P6" s="688">
        <v>260</v>
      </c>
      <c r="Q6" s="519"/>
      <c r="R6" s="67">
        <f>R7+R11+R13</f>
        <v>1853659.4</v>
      </c>
      <c r="S6" s="2"/>
      <c r="T6" s="357"/>
      <c r="U6" s="357"/>
      <c r="V6" s="357"/>
      <c r="W6" s="357"/>
      <c r="X6" s="357"/>
      <c r="Y6" s="357"/>
      <c r="Z6" s="357"/>
      <c r="AA6" s="357"/>
      <c r="AB6" s="357"/>
      <c r="AC6" s="357"/>
      <c r="AD6" s="357"/>
      <c r="AE6" s="357"/>
      <c r="AF6" s="357"/>
      <c r="AG6" s="357"/>
      <c r="AH6" s="357"/>
      <c r="AI6" s="357"/>
      <c r="AJ6" s="357"/>
      <c r="AK6" s="357"/>
      <c r="AL6" s="357"/>
      <c r="AM6" s="357"/>
      <c r="AN6" s="357"/>
      <c r="AO6" s="357"/>
      <c r="AP6" s="357"/>
      <c r="AQ6" s="357"/>
      <c r="AR6" s="357"/>
      <c r="AS6" s="357"/>
      <c r="AT6" s="357"/>
      <c r="AU6" s="357"/>
      <c r="AV6" s="357"/>
      <c r="AW6" s="357"/>
      <c r="AX6" s="357"/>
      <c r="AY6" s="357"/>
      <c r="AZ6" s="357"/>
      <c r="BA6" s="357"/>
      <c r="BB6" s="357"/>
      <c r="BC6" s="357"/>
      <c r="BD6" s="357"/>
      <c r="BE6" s="357"/>
      <c r="BF6" s="357"/>
      <c r="BG6" s="357"/>
      <c r="BH6" s="357"/>
      <c r="BI6" s="357"/>
      <c r="BJ6" s="357"/>
      <c r="BK6" s="357"/>
      <c r="BL6" s="357"/>
      <c r="BM6" s="357"/>
      <c r="BN6" s="357"/>
      <c r="BO6" s="357"/>
      <c r="BP6" s="357"/>
      <c r="BQ6" s="357"/>
      <c r="BR6" s="357"/>
      <c r="BS6" s="357"/>
      <c r="BT6" s="357"/>
      <c r="BU6" s="357"/>
      <c r="BV6" s="357"/>
    </row>
    <row r="7" spans="1:74" ht="15.4" customHeight="1" x14ac:dyDescent="0.25">
      <c r="A7" s="709">
        <v>1</v>
      </c>
      <c r="B7" s="709" t="str">
        <f t="shared" ref="B7:C7" si="0">K6</f>
        <v>M1614</v>
      </c>
      <c r="C7" s="655" t="str">
        <f t="shared" si="0"/>
        <v>Ô tô tự đổ 7T</v>
      </c>
      <c r="D7" s="65">
        <f>R6</f>
        <v>1853659.4</v>
      </c>
      <c r="E7" s="717" t="s">
        <v>1019</v>
      </c>
      <c r="F7" s="709" t="s">
        <v>1256</v>
      </c>
      <c r="G7" s="655" t="s">
        <v>654</v>
      </c>
      <c r="H7" s="629">
        <v>273000</v>
      </c>
      <c r="I7" s="2"/>
      <c r="J7" s="768"/>
      <c r="K7" s="768"/>
      <c r="L7" s="46" t="s">
        <v>229</v>
      </c>
      <c r="M7" s="768"/>
      <c r="N7" s="768"/>
      <c r="O7" s="90"/>
      <c r="P7" s="768"/>
      <c r="Q7" s="547"/>
      <c r="R7" s="90">
        <f>SUM(R8:R10)</f>
        <v>678307.3</v>
      </c>
      <c r="S7" s="2"/>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c r="AW7" s="357"/>
      <c r="AX7" s="357"/>
      <c r="AY7" s="357"/>
      <c r="AZ7" s="357"/>
      <c r="BA7" s="357"/>
      <c r="BB7" s="357"/>
      <c r="BC7" s="357"/>
      <c r="BD7" s="357"/>
      <c r="BE7" s="357"/>
      <c r="BF7" s="357"/>
      <c r="BG7" s="357"/>
      <c r="BH7" s="357"/>
      <c r="BI7" s="357"/>
      <c r="BJ7" s="357"/>
      <c r="BK7" s="357"/>
      <c r="BL7" s="357"/>
      <c r="BM7" s="357"/>
      <c r="BN7" s="357"/>
      <c r="BO7" s="357"/>
      <c r="BP7" s="357"/>
      <c r="BQ7" s="357"/>
      <c r="BR7" s="357"/>
      <c r="BS7" s="357"/>
      <c r="BT7" s="357"/>
      <c r="BU7" s="357"/>
      <c r="BV7" s="357"/>
    </row>
    <row r="8" spans="1:74" ht="15.4" customHeight="1" x14ac:dyDescent="0.25">
      <c r="A8" s="80">
        <v>2</v>
      </c>
      <c r="B8" s="80" t="str">
        <f t="shared" ref="B8:C8" si="1">K15</f>
        <v>M1598</v>
      </c>
      <c r="C8" s="18" t="str">
        <f t="shared" si="1"/>
        <v>Ô tô tự đổ 10T</v>
      </c>
      <c r="D8" s="889">
        <f>R15</f>
        <v>2110289.1642857143</v>
      </c>
      <c r="E8" s="652" t="s">
        <v>990</v>
      </c>
      <c r="F8" s="80" t="s">
        <v>861</v>
      </c>
      <c r="G8" s="18" t="s">
        <v>455</v>
      </c>
      <c r="H8" s="900">
        <v>323898</v>
      </c>
      <c r="I8" s="2"/>
      <c r="J8" s="80"/>
      <c r="K8" s="80"/>
      <c r="L8" s="18" t="s">
        <v>84</v>
      </c>
      <c r="M8" s="80" t="s">
        <v>1086</v>
      </c>
      <c r="N8" s="652">
        <v>17</v>
      </c>
      <c r="O8" s="334"/>
      <c r="P8" s="80"/>
      <c r="Q8" s="408">
        <v>0.9</v>
      </c>
      <c r="R8" s="334">
        <f>O6*N8*Q8/P6/100</f>
        <v>362870.68846153846</v>
      </c>
      <c r="S8" s="2"/>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c r="AW8" s="357"/>
      <c r="AX8" s="357"/>
      <c r="AY8" s="357"/>
      <c r="AZ8" s="357"/>
      <c r="BA8" s="357"/>
      <c r="BB8" s="357"/>
      <c r="BC8" s="357"/>
      <c r="BD8" s="357"/>
      <c r="BE8" s="357"/>
      <c r="BF8" s="357"/>
      <c r="BG8" s="357"/>
      <c r="BH8" s="357"/>
      <c r="BI8" s="357"/>
      <c r="BJ8" s="357"/>
      <c r="BK8" s="357"/>
      <c r="BL8" s="357"/>
      <c r="BM8" s="357"/>
      <c r="BN8" s="357"/>
      <c r="BO8" s="357"/>
      <c r="BP8" s="357"/>
      <c r="BQ8" s="357"/>
      <c r="BR8" s="357"/>
      <c r="BS8" s="357"/>
      <c r="BT8" s="357"/>
      <c r="BU8" s="357"/>
      <c r="BV8" s="357"/>
    </row>
    <row r="9" spans="1:74" ht="15.4" customHeight="1" x14ac:dyDescent="0.25">
      <c r="A9" s="80">
        <v>3</v>
      </c>
      <c r="B9" s="80" t="str">
        <f>K24</f>
        <v>M1599</v>
      </c>
      <c r="C9" s="18" t="s">
        <v>1289</v>
      </c>
      <c r="D9" s="889">
        <f>R24</f>
        <v>2428784.6428571427</v>
      </c>
      <c r="E9" s="652" t="s">
        <v>1369</v>
      </c>
      <c r="F9" s="657" t="s">
        <v>867</v>
      </c>
      <c r="G9" s="593" t="s">
        <v>272</v>
      </c>
      <c r="H9" s="565">
        <v>19045</v>
      </c>
      <c r="I9" s="2"/>
      <c r="J9" s="80"/>
      <c r="K9" s="80"/>
      <c r="L9" s="18" t="s">
        <v>168</v>
      </c>
      <c r="M9" s="80" t="s">
        <v>1086</v>
      </c>
      <c r="N9" s="652">
        <v>7.3</v>
      </c>
      <c r="O9" s="334"/>
      <c r="P9" s="80"/>
      <c r="Q9" s="771"/>
      <c r="R9" s="334">
        <f>O6*N9/P6/100</f>
        <v>173134.38076923077</v>
      </c>
      <c r="S9" s="2"/>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c r="AW9" s="357"/>
      <c r="AX9" s="357"/>
      <c r="AY9" s="357"/>
      <c r="AZ9" s="357"/>
      <c r="BA9" s="357"/>
      <c r="BB9" s="357"/>
      <c r="BC9" s="357"/>
      <c r="BD9" s="357"/>
      <c r="BE9" s="357"/>
      <c r="BF9" s="357"/>
      <c r="BG9" s="357"/>
      <c r="BH9" s="357"/>
      <c r="BI9" s="357"/>
      <c r="BJ9" s="357"/>
      <c r="BK9" s="357"/>
      <c r="BL9" s="357"/>
      <c r="BM9" s="357"/>
      <c r="BN9" s="357"/>
      <c r="BO9" s="357"/>
      <c r="BP9" s="357"/>
      <c r="BQ9" s="357"/>
      <c r="BR9" s="357"/>
      <c r="BS9" s="357"/>
      <c r="BT9" s="357"/>
      <c r="BU9" s="357"/>
      <c r="BV9" s="357"/>
    </row>
    <row r="10" spans="1:74" ht="15.4" customHeight="1" x14ac:dyDescent="0.25">
      <c r="A10" s="80">
        <v>4</v>
      </c>
      <c r="B10" s="80" t="str">
        <f>K33</f>
        <v>M1604</v>
      </c>
      <c r="C10" s="18" t="s">
        <v>1124</v>
      </c>
      <c r="D10" s="889">
        <f>R33</f>
        <v>3360214.5366666666</v>
      </c>
      <c r="E10" s="225" t="s">
        <v>616</v>
      </c>
      <c r="F10" s="475"/>
      <c r="G10" s="2"/>
      <c r="H10" s="2"/>
      <c r="I10" s="2"/>
      <c r="J10" s="80"/>
      <c r="K10" s="80"/>
      <c r="L10" s="18" t="s">
        <v>432</v>
      </c>
      <c r="M10" s="80" t="s">
        <v>1086</v>
      </c>
      <c r="N10" s="652">
        <v>6</v>
      </c>
      <c r="O10" s="334"/>
      <c r="P10" s="80"/>
      <c r="Q10" s="771"/>
      <c r="R10" s="334">
        <f>O6*N10/P6/100</f>
        <v>142302.23076923075</v>
      </c>
      <c r="S10" s="2"/>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c r="AW10" s="357"/>
      <c r="AX10" s="357"/>
      <c r="AY10" s="357"/>
      <c r="AZ10" s="357"/>
      <c r="BA10" s="357"/>
      <c r="BB10" s="357"/>
      <c r="BC10" s="357"/>
      <c r="BD10" s="357"/>
      <c r="BE10" s="357"/>
      <c r="BF10" s="357"/>
      <c r="BG10" s="357"/>
      <c r="BH10" s="357"/>
      <c r="BI10" s="357"/>
      <c r="BJ10" s="357"/>
      <c r="BK10" s="357"/>
      <c r="BL10" s="357"/>
      <c r="BM10" s="357"/>
      <c r="BN10" s="357"/>
      <c r="BO10" s="357"/>
      <c r="BP10" s="357"/>
      <c r="BQ10" s="357"/>
      <c r="BR10" s="357"/>
      <c r="BS10" s="357"/>
      <c r="BT10" s="357"/>
      <c r="BU10" s="357"/>
      <c r="BV10" s="357"/>
    </row>
    <row r="11" spans="1:74" ht="16.350000000000001" customHeight="1" x14ac:dyDescent="0.25">
      <c r="A11" s="80">
        <v>5</v>
      </c>
      <c r="B11" s="80" t="str">
        <f>K42</f>
        <v>M1596</v>
      </c>
      <c r="C11" s="18" t="s">
        <v>385</v>
      </c>
      <c r="D11" s="889">
        <f>R42</f>
        <v>1350950.9500000002</v>
      </c>
      <c r="E11" s="225" t="s">
        <v>46</v>
      </c>
      <c r="F11" s="475"/>
      <c r="G11" s="2"/>
      <c r="H11" s="2"/>
      <c r="I11" s="2"/>
      <c r="J11" s="80"/>
      <c r="K11" s="80"/>
      <c r="L11" s="279" t="s">
        <v>1404</v>
      </c>
      <c r="M11" s="80"/>
      <c r="N11" s="80"/>
      <c r="O11" s="334"/>
      <c r="P11" s="80"/>
      <c r="Q11" s="771"/>
      <c r="R11" s="334">
        <f>SUM(R12:R12)</f>
        <v>273000</v>
      </c>
      <c r="S11" s="2"/>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c r="AW11" s="357"/>
      <c r="AX11" s="357"/>
      <c r="AY11" s="357"/>
      <c r="AZ11" s="357"/>
      <c r="BA11" s="357"/>
      <c r="BB11" s="357"/>
      <c r="BC11" s="357"/>
      <c r="BD11" s="357"/>
      <c r="BE11" s="357"/>
      <c r="BF11" s="357"/>
      <c r="BG11" s="357"/>
      <c r="BH11" s="357"/>
      <c r="BI11" s="357"/>
      <c r="BJ11" s="357"/>
      <c r="BK11" s="357"/>
      <c r="BL11" s="357"/>
      <c r="BM11" s="357"/>
      <c r="BN11" s="357"/>
      <c r="BO11" s="357"/>
      <c r="BP11" s="357"/>
      <c r="BQ11" s="357"/>
      <c r="BR11" s="357"/>
      <c r="BS11" s="357"/>
      <c r="BT11" s="357"/>
      <c r="BU11" s="357"/>
      <c r="BV11" s="357"/>
    </row>
    <row r="12" spans="1:74" ht="16.350000000000001" customHeight="1" x14ac:dyDescent="0.25">
      <c r="A12" s="80">
        <v>6</v>
      </c>
      <c r="B12" s="80" t="str">
        <f>K51</f>
        <v>M1589</v>
      </c>
      <c r="C12" s="18" t="s">
        <v>277</v>
      </c>
      <c r="D12" s="889">
        <f>R51</f>
        <v>1748197.9807692308</v>
      </c>
      <c r="E12" s="225" t="s">
        <v>818</v>
      </c>
      <c r="F12" s="475"/>
      <c r="G12" s="2"/>
      <c r="H12" s="2"/>
      <c r="I12" s="2"/>
      <c r="J12" s="80"/>
      <c r="K12" s="80" t="str">
        <f>F7</f>
        <v>NLX424</v>
      </c>
      <c r="L12" s="18" t="s">
        <v>121</v>
      </c>
      <c r="M12" s="80" t="s">
        <v>239</v>
      </c>
      <c r="N12" s="652">
        <v>1</v>
      </c>
      <c r="O12" s="345">
        <f>H7</f>
        <v>273000</v>
      </c>
      <c r="P12" s="80"/>
      <c r="Q12" s="771"/>
      <c r="R12" s="334">
        <f>N12*O12</f>
        <v>273000</v>
      </c>
      <c r="S12" s="2"/>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c r="AW12" s="357"/>
      <c r="AX12" s="357"/>
      <c r="AY12" s="357"/>
      <c r="AZ12" s="357"/>
      <c r="BA12" s="357"/>
      <c r="BB12" s="357"/>
      <c r="BC12" s="357"/>
      <c r="BD12" s="357"/>
      <c r="BE12" s="357"/>
      <c r="BF12" s="357"/>
      <c r="BG12" s="357"/>
      <c r="BH12" s="357"/>
      <c r="BI12" s="357"/>
      <c r="BJ12" s="357"/>
      <c r="BK12" s="357"/>
      <c r="BL12" s="357"/>
      <c r="BM12" s="357"/>
      <c r="BN12" s="357"/>
      <c r="BO12" s="357"/>
      <c r="BP12" s="357"/>
      <c r="BQ12" s="357"/>
      <c r="BR12" s="357"/>
      <c r="BS12" s="357"/>
      <c r="BT12" s="357"/>
      <c r="BU12" s="357"/>
      <c r="BV12" s="357"/>
    </row>
    <row r="13" spans="1:74" ht="16.350000000000001" customHeight="1" x14ac:dyDescent="0.25">
      <c r="A13" s="657">
        <v>7</v>
      </c>
      <c r="B13" s="657" t="str">
        <f>K60</f>
        <v>M1591</v>
      </c>
      <c r="C13" s="593" t="s">
        <v>866</v>
      </c>
      <c r="D13" s="544">
        <f>R60</f>
        <v>2532079.3777777776</v>
      </c>
      <c r="E13" s="246" t="s">
        <v>1198</v>
      </c>
      <c r="F13" s="475"/>
      <c r="G13" s="2"/>
      <c r="H13" s="2"/>
      <c r="I13" s="2"/>
      <c r="J13" s="80"/>
      <c r="K13" s="80"/>
      <c r="L13" s="279" t="s">
        <v>1364</v>
      </c>
      <c r="M13" s="80"/>
      <c r="N13" s="80"/>
      <c r="O13" s="334"/>
      <c r="P13" s="80"/>
      <c r="Q13" s="771"/>
      <c r="R13" s="334">
        <f>SUM(R14:R14)</f>
        <v>902352.1</v>
      </c>
      <c r="S13" s="2"/>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c r="AW13" s="357"/>
      <c r="AX13" s="357"/>
      <c r="AY13" s="357"/>
      <c r="AZ13" s="357"/>
      <c r="BA13" s="357"/>
      <c r="BB13" s="357"/>
      <c r="BC13" s="357"/>
      <c r="BD13" s="357"/>
      <c r="BE13" s="357"/>
      <c r="BF13" s="357"/>
      <c r="BG13" s="357"/>
      <c r="BH13" s="357"/>
      <c r="BI13" s="357"/>
      <c r="BJ13" s="357"/>
      <c r="BK13" s="357"/>
      <c r="BL13" s="357"/>
      <c r="BM13" s="357"/>
      <c r="BN13" s="357"/>
      <c r="BO13" s="357"/>
      <c r="BP13" s="357"/>
      <c r="BQ13" s="357"/>
      <c r="BR13" s="357"/>
      <c r="BS13" s="357"/>
      <c r="BT13" s="357"/>
      <c r="BU13" s="357"/>
      <c r="BV13" s="357"/>
    </row>
    <row r="14" spans="1:74" ht="16.350000000000001" customHeight="1" x14ac:dyDescent="0.25">
      <c r="A14" s="2"/>
      <c r="B14" s="2"/>
      <c r="C14" s="2"/>
      <c r="D14" s="2"/>
      <c r="E14" s="2"/>
      <c r="F14" s="812"/>
      <c r="G14" s="2"/>
      <c r="H14" s="2"/>
      <c r="I14" s="2"/>
      <c r="J14" s="657"/>
      <c r="K14" s="657" t="str">
        <f>F9</f>
        <v>D</v>
      </c>
      <c r="L14" s="593" t="s">
        <v>971</v>
      </c>
      <c r="M14" s="657" t="s">
        <v>1431</v>
      </c>
      <c r="N14" s="280">
        <v>46</v>
      </c>
      <c r="O14" s="881">
        <f>H9</f>
        <v>19045</v>
      </c>
      <c r="P14" s="657"/>
      <c r="Q14" s="429">
        <v>1.03</v>
      </c>
      <c r="R14" s="863">
        <f>N14*O14*Q14</f>
        <v>902352.1</v>
      </c>
      <c r="S14" s="2"/>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c r="BA14" s="357"/>
      <c r="BB14" s="357"/>
      <c r="BC14" s="357"/>
      <c r="BD14" s="357"/>
      <c r="BE14" s="357"/>
      <c r="BF14" s="357"/>
      <c r="BG14" s="357"/>
      <c r="BH14" s="357"/>
      <c r="BI14" s="357"/>
      <c r="BJ14" s="357"/>
      <c r="BK14" s="357"/>
      <c r="BL14" s="357"/>
      <c r="BM14" s="357"/>
      <c r="BN14" s="357"/>
      <c r="BO14" s="357"/>
      <c r="BP14" s="357"/>
      <c r="BQ14" s="357"/>
      <c r="BR14" s="357"/>
      <c r="BS14" s="357"/>
      <c r="BT14" s="357"/>
      <c r="BU14" s="357"/>
      <c r="BV14" s="357"/>
    </row>
    <row r="15" spans="1:74" ht="15.4" customHeight="1" x14ac:dyDescent="0.25">
      <c r="A15" s="1118" t="s">
        <v>909</v>
      </c>
      <c r="B15" s="1118"/>
      <c r="C15" s="1118"/>
      <c r="D15" s="1118"/>
      <c r="E15" s="2" t="s">
        <v>754</v>
      </c>
      <c r="F15" s="322">
        <v>0.95</v>
      </c>
      <c r="G15" s="2"/>
      <c r="H15" s="2"/>
      <c r="I15" s="2"/>
      <c r="J15" s="688">
        <v>2</v>
      </c>
      <c r="K15" s="688" t="s">
        <v>1223</v>
      </c>
      <c r="L15" s="688" t="s">
        <v>164</v>
      </c>
      <c r="M15" s="688" t="s">
        <v>1272</v>
      </c>
      <c r="N15" s="688"/>
      <c r="O15" s="67">
        <v>704070000</v>
      </c>
      <c r="P15" s="688">
        <v>280</v>
      </c>
      <c r="Q15" s="519"/>
      <c r="R15" s="67">
        <f>R16+R20+R22</f>
        <v>2110289.1642857143</v>
      </c>
      <c r="S15" s="2"/>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c r="AW15" s="357"/>
      <c r="AX15" s="357"/>
      <c r="AY15" s="357"/>
      <c r="AZ15" s="357"/>
      <c r="BA15" s="357"/>
      <c r="BB15" s="357"/>
      <c r="BC15" s="357"/>
      <c r="BD15" s="357"/>
      <c r="BE15" s="357"/>
      <c r="BF15" s="357"/>
      <c r="BG15" s="357"/>
      <c r="BH15" s="357"/>
      <c r="BI15" s="357"/>
      <c r="BJ15" s="357"/>
      <c r="BK15" s="357"/>
      <c r="BL15" s="357"/>
      <c r="BM15" s="357"/>
      <c r="BN15" s="357"/>
      <c r="BO15" s="357"/>
      <c r="BP15" s="357"/>
      <c r="BQ15" s="357"/>
      <c r="BR15" s="357"/>
      <c r="BS15" s="357"/>
      <c r="BT15" s="357"/>
      <c r="BU15" s="357"/>
      <c r="BV15" s="357"/>
    </row>
    <row r="16" spans="1:74" ht="15.4" customHeight="1" x14ac:dyDescent="0.25">
      <c r="A16" s="688" t="s">
        <v>876</v>
      </c>
      <c r="B16" s="688" t="s">
        <v>1384</v>
      </c>
      <c r="C16" s="688" t="s">
        <v>431</v>
      </c>
      <c r="D16" s="688" t="s">
        <v>1414</v>
      </c>
      <c r="E16" s="688" t="s">
        <v>715</v>
      </c>
      <c r="F16" s="688" t="s">
        <v>1161</v>
      </c>
      <c r="G16" s="688"/>
      <c r="H16" s="812"/>
      <c r="I16" s="2"/>
      <c r="J16" s="768"/>
      <c r="K16" s="768"/>
      <c r="L16" s="46" t="s">
        <v>229</v>
      </c>
      <c r="M16" s="768"/>
      <c r="N16" s="768"/>
      <c r="O16" s="90"/>
      <c r="P16" s="768"/>
      <c r="Q16" s="547"/>
      <c r="R16" s="90">
        <f>SUM(R17:R19)</f>
        <v>719157.2142857142</v>
      </c>
      <c r="S16" s="2"/>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c r="AW16" s="357"/>
      <c r="AX16" s="357"/>
      <c r="AY16" s="357"/>
      <c r="AZ16" s="357"/>
      <c r="BA16" s="357"/>
      <c r="BB16" s="357"/>
      <c r="BC16" s="357"/>
      <c r="BD16" s="357"/>
      <c r="BE16" s="357"/>
      <c r="BF16" s="357"/>
      <c r="BG16" s="357"/>
      <c r="BH16" s="357"/>
      <c r="BI16" s="357"/>
      <c r="BJ16" s="357"/>
      <c r="BK16" s="357"/>
      <c r="BL16" s="357"/>
      <c r="BM16" s="357"/>
      <c r="BN16" s="357"/>
      <c r="BO16" s="357"/>
      <c r="BP16" s="357"/>
      <c r="BQ16" s="357"/>
      <c r="BR16" s="357"/>
      <c r="BS16" s="357"/>
      <c r="BT16" s="357"/>
      <c r="BU16" s="357"/>
      <c r="BV16" s="357"/>
    </row>
    <row r="17" spans="1:74" ht="15.4" customHeight="1" x14ac:dyDescent="0.25">
      <c r="A17" s="709" t="s">
        <v>640</v>
      </c>
      <c r="B17" s="655" t="str">
        <f>$C$7</f>
        <v>Ô tô tự đổ 7T</v>
      </c>
      <c r="C17" s="291" t="s">
        <v>656</v>
      </c>
      <c r="D17" s="181" t="s">
        <v>333</v>
      </c>
      <c r="E17" s="291" t="s">
        <v>300</v>
      </c>
      <c r="F17" s="496">
        <f t="shared" ref="F17:F32" si="2">E17*$F$15</f>
        <v>1.3299999999999999E-2</v>
      </c>
      <c r="G17" s="655" t="str">
        <f t="shared" ref="G17:G20" si="3">H$17</f>
        <v>cát xây dựng</v>
      </c>
      <c r="H17" s="742" t="s">
        <v>827</v>
      </c>
      <c r="I17" s="2"/>
      <c r="J17" s="80"/>
      <c r="K17" s="80"/>
      <c r="L17" s="18" t="s">
        <v>84</v>
      </c>
      <c r="M17" s="80" t="s">
        <v>1086</v>
      </c>
      <c r="N17" s="652">
        <v>17</v>
      </c>
      <c r="O17" s="334"/>
      <c r="P17" s="80"/>
      <c r="Q17" s="408">
        <v>0.9</v>
      </c>
      <c r="R17" s="334">
        <f>O15*N17*Q17/P15/100</f>
        <v>384723.96428571426</v>
      </c>
      <c r="S17" s="2"/>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c r="AW17" s="357"/>
      <c r="AX17" s="357"/>
      <c r="AY17" s="357"/>
      <c r="AZ17" s="357"/>
      <c r="BA17" s="357"/>
      <c r="BB17" s="357"/>
      <c r="BC17" s="357"/>
      <c r="BD17" s="357"/>
      <c r="BE17" s="357"/>
      <c r="BF17" s="357"/>
      <c r="BG17" s="357"/>
      <c r="BH17" s="357"/>
      <c r="BI17" s="357"/>
      <c r="BJ17" s="357"/>
      <c r="BK17" s="357"/>
      <c r="BL17" s="357"/>
      <c r="BM17" s="357"/>
      <c r="BN17" s="357"/>
      <c r="BO17" s="357"/>
      <c r="BP17" s="357"/>
      <c r="BQ17" s="357"/>
      <c r="BR17" s="357"/>
      <c r="BS17" s="357"/>
      <c r="BT17" s="357"/>
      <c r="BU17" s="357"/>
      <c r="BV17" s="357"/>
    </row>
    <row r="18" spans="1:74" ht="16.350000000000001" customHeight="1" x14ac:dyDescent="0.25">
      <c r="A18" s="80" t="s">
        <v>607</v>
      </c>
      <c r="B18" s="18" t="str">
        <f>$C$8</f>
        <v>Ô tô tự đổ 10T</v>
      </c>
      <c r="C18" s="599" t="s">
        <v>253</v>
      </c>
      <c r="D18" s="84" t="s">
        <v>682</v>
      </c>
      <c r="E18" s="599" t="s">
        <v>633</v>
      </c>
      <c r="F18" s="786">
        <f t="shared" si="2"/>
        <v>9.4999999999999998E-3</v>
      </c>
      <c r="G18" s="18" t="str">
        <f t="shared" si="3"/>
        <v>cát xây dựng</v>
      </c>
      <c r="H18" s="742" t="s">
        <v>639</v>
      </c>
      <c r="I18" s="2"/>
      <c r="J18" s="80"/>
      <c r="K18" s="80"/>
      <c r="L18" s="18" t="s">
        <v>168</v>
      </c>
      <c r="M18" s="80" t="s">
        <v>1086</v>
      </c>
      <c r="N18" s="652">
        <v>7.3</v>
      </c>
      <c r="O18" s="334"/>
      <c r="P18" s="80"/>
      <c r="Q18" s="771"/>
      <c r="R18" s="334">
        <f>O15*N18/P15/100</f>
        <v>183561.10714285713</v>
      </c>
      <c r="S18" s="2"/>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7"/>
      <c r="BA18" s="357"/>
      <c r="BB18" s="357"/>
      <c r="BC18" s="357"/>
      <c r="BD18" s="357"/>
      <c r="BE18" s="357"/>
      <c r="BF18" s="357"/>
      <c r="BG18" s="357"/>
      <c r="BH18" s="357"/>
      <c r="BI18" s="357"/>
      <c r="BJ18" s="357"/>
      <c r="BK18" s="357"/>
      <c r="BL18" s="357"/>
      <c r="BM18" s="357"/>
      <c r="BN18" s="357"/>
      <c r="BO18" s="357"/>
      <c r="BP18" s="357"/>
      <c r="BQ18" s="357"/>
      <c r="BR18" s="357"/>
      <c r="BS18" s="357"/>
      <c r="BT18" s="357"/>
      <c r="BU18" s="357"/>
      <c r="BV18" s="357"/>
    </row>
    <row r="19" spans="1:74" ht="16.350000000000001" customHeight="1" x14ac:dyDescent="0.25">
      <c r="A19" s="80" t="s">
        <v>1039</v>
      </c>
      <c r="B19" s="18" t="str">
        <f>$C$9</f>
        <v>Ô tô tự đổ 12T</v>
      </c>
      <c r="C19" s="599" t="s">
        <v>660</v>
      </c>
      <c r="D19" s="84" t="s">
        <v>1032</v>
      </c>
      <c r="E19" s="599" t="s">
        <v>337</v>
      </c>
      <c r="F19" s="786">
        <f t="shared" si="2"/>
        <v>7.6E-3</v>
      </c>
      <c r="G19" s="18" t="str">
        <f t="shared" si="3"/>
        <v>cát xây dựng</v>
      </c>
      <c r="H19" s="742" t="s">
        <v>88</v>
      </c>
      <c r="I19" s="2"/>
      <c r="J19" s="80"/>
      <c r="K19" s="80"/>
      <c r="L19" s="18" t="s">
        <v>432</v>
      </c>
      <c r="M19" s="80" t="s">
        <v>1086</v>
      </c>
      <c r="N19" s="652">
        <v>6</v>
      </c>
      <c r="O19" s="334"/>
      <c r="P19" s="80"/>
      <c r="Q19" s="771"/>
      <c r="R19" s="334">
        <f>O15*N19/P15/100</f>
        <v>150872.14285714284</v>
      </c>
      <c r="S19" s="2"/>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c r="BA19" s="357"/>
      <c r="BB19" s="357"/>
      <c r="BC19" s="357"/>
      <c r="BD19" s="357"/>
      <c r="BE19" s="357"/>
      <c r="BF19" s="357"/>
      <c r="BG19" s="357"/>
      <c r="BH19" s="357"/>
      <c r="BI19" s="357"/>
      <c r="BJ19" s="357"/>
      <c r="BK19" s="357"/>
      <c r="BL19" s="357"/>
      <c r="BM19" s="357"/>
      <c r="BN19" s="357"/>
      <c r="BO19" s="357"/>
      <c r="BP19" s="357"/>
      <c r="BQ19" s="357"/>
      <c r="BR19" s="357"/>
      <c r="BS19" s="357"/>
      <c r="BT19" s="357"/>
      <c r="BU19" s="357"/>
      <c r="BV19" s="357"/>
    </row>
    <row r="20" spans="1:74" ht="16.350000000000001" customHeight="1" x14ac:dyDescent="0.25">
      <c r="A20" s="80" t="s">
        <v>1408</v>
      </c>
      <c r="B20" s="18" t="str">
        <f>$C$10</f>
        <v>Ô tô tự đổ 22T</v>
      </c>
      <c r="C20" s="599" t="s">
        <v>1063</v>
      </c>
      <c r="D20" s="84" t="s">
        <v>337</v>
      </c>
      <c r="E20" s="599" t="s">
        <v>685</v>
      </c>
      <c r="F20" s="786">
        <f t="shared" si="2"/>
        <v>3.8E-3</v>
      </c>
      <c r="G20" s="18" t="str">
        <f t="shared" si="3"/>
        <v>cát xây dựng</v>
      </c>
      <c r="H20" s="742" t="s">
        <v>1304</v>
      </c>
      <c r="I20" s="2"/>
      <c r="J20" s="80"/>
      <c r="K20" s="80"/>
      <c r="L20" s="279" t="s">
        <v>1404</v>
      </c>
      <c r="M20" s="80"/>
      <c r="N20" s="80"/>
      <c r="O20" s="334"/>
      <c r="P20" s="80"/>
      <c r="Q20" s="771"/>
      <c r="R20" s="334">
        <f>SUM(R21:R21)</f>
        <v>273000</v>
      </c>
      <c r="S20" s="2"/>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7"/>
      <c r="BA20" s="357"/>
      <c r="BB20" s="357"/>
      <c r="BC20" s="357"/>
      <c r="BD20" s="357"/>
      <c r="BE20" s="357"/>
      <c r="BF20" s="357"/>
      <c r="BG20" s="357"/>
      <c r="BH20" s="357"/>
      <c r="BI20" s="357"/>
      <c r="BJ20" s="357"/>
      <c r="BK20" s="357"/>
      <c r="BL20" s="357"/>
      <c r="BM20" s="357"/>
      <c r="BN20" s="357"/>
      <c r="BO20" s="357"/>
      <c r="BP20" s="357"/>
      <c r="BQ20" s="357"/>
      <c r="BR20" s="357"/>
      <c r="BS20" s="357"/>
      <c r="BT20" s="357"/>
      <c r="BU20" s="357"/>
      <c r="BV20" s="357"/>
    </row>
    <row r="21" spans="1:74" ht="16.350000000000001" customHeight="1" x14ac:dyDescent="0.25">
      <c r="A21" s="80" t="s">
        <v>264</v>
      </c>
      <c r="B21" s="18" t="str">
        <f>$C$7</f>
        <v>Ô tô tự đổ 7T</v>
      </c>
      <c r="C21" s="599" t="s">
        <v>1350</v>
      </c>
      <c r="D21" s="84" t="s">
        <v>629</v>
      </c>
      <c r="E21" s="599" t="s">
        <v>682</v>
      </c>
      <c r="F21" s="786">
        <f t="shared" si="2"/>
        <v>1.4249999999999999E-2</v>
      </c>
      <c r="G21" s="18" t="str">
        <f t="shared" ref="G21:G24" si="4">H$18</f>
        <v>đất</v>
      </c>
      <c r="H21" s="742" t="s">
        <v>343</v>
      </c>
      <c r="I21" s="2"/>
      <c r="J21" s="80"/>
      <c r="K21" s="80" t="str">
        <f>F7</f>
        <v>NLX424</v>
      </c>
      <c r="L21" s="18" t="s">
        <v>121</v>
      </c>
      <c r="M21" s="80" t="s">
        <v>239</v>
      </c>
      <c r="N21" s="652">
        <v>1</v>
      </c>
      <c r="O21" s="345">
        <f>H7</f>
        <v>273000</v>
      </c>
      <c r="P21" s="80"/>
      <c r="Q21" s="771"/>
      <c r="R21" s="334">
        <f>N21*O21</f>
        <v>273000</v>
      </c>
      <c r="S21" s="2"/>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c r="AW21" s="357"/>
      <c r="AX21" s="357"/>
      <c r="AY21" s="357"/>
      <c r="AZ21" s="357"/>
      <c r="BA21" s="357"/>
      <c r="BB21" s="357"/>
      <c r="BC21" s="357"/>
      <c r="BD21" s="357"/>
      <c r="BE21" s="357"/>
      <c r="BF21" s="357"/>
      <c r="BG21" s="357"/>
      <c r="BH21" s="357"/>
      <c r="BI21" s="357"/>
      <c r="BJ21" s="357"/>
      <c r="BK21" s="357"/>
      <c r="BL21" s="357"/>
      <c r="BM21" s="357"/>
      <c r="BN21" s="357"/>
      <c r="BO21" s="357"/>
      <c r="BP21" s="357"/>
      <c r="BQ21" s="357"/>
      <c r="BR21" s="357"/>
      <c r="BS21" s="357"/>
      <c r="BT21" s="357"/>
      <c r="BU21" s="357"/>
      <c r="BV21" s="357"/>
    </row>
    <row r="22" spans="1:74" ht="16.350000000000001" customHeight="1" x14ac:dyDescent="0.25">
      <c r="A22" s="80" t="s">
        <v>636</v>
      </c>
      <c r="B22" s="18" t="str">
        <f>$C$8</f>
        <v>Ô tô tự đổ 10T</v>
      </c>
      <c r="C22" s="599" t="s">
        <v>1062</v>
      </c>
      <c r="D22" s="84" t="s">
        <v>660</v>
      </c>
      <c r="E22" s="599" t="s">
        <v>1063</v>
      </c>
      <c r="F22" s="786">
        <f t="shared" si="2"/>
        <v>1.0449999999999999E-2</v>
      </c>
      <c r="G22" s="18" t="str">
        <f t="shared" si="4"/>
        <v>đất</v>
      </c>
      <c r="H22" s="742" t="s">
        <v>1241</v>
      </c>
      <c r="I22" s="2"/>
      <c r="J22" s="80"/>
      <c r="K22" s="80"/>
      <c r="L22" s="279" t="s">
        <v>1364</v>
      </c>
      <c r="M22" s="80"/>
      <c r="N22" s="80"/>
      <c r="O22" s="334"/>
      <c r="P22" s="80"/>
      <c r="Q22" s="771"/>
      <c r="R22" s="334">
        <f>SUM(R23:R23)</f>
        <v>1118131.95</v>
      </c>
      <c r="S22" s="2"/>
      <c r="T22" s="357"/>
      <c r="U22" s="357"/>
      <c r="V22" s="357"/>
      <c r="W22" s="357"/>
      <c r="X22" s="357"/>
      <c r="Y22" s="357"/>
      <c r="Z22" s="357"/>
      <c r="AA22" s="357"/>
      <c r="AB22" s="357"/>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c r="BA22" s="357"/>
      <c r="BB22" s="357"/>
      <c r="BC22" s="357"/>
      <c r="BD22" s="357"/>
      <c r="BE22" s="357"/>
      <c r="BF22" s="357"/>
      <c r="BG22" s="357"/>
      <c r="BH22" s="357"/>
      <c r="BI22" s="357"/>
      <c r="BJ22" s="357"/>
      <c r="BK22" s="357"/>
      <c r="BL22" s="357"/>
      <c r="BM22" s="357"/>
      <c r="BN22" s="357"/>
      <c r="BO22" s="357"/>
      <c r="BP22" s="357"/>
      <c r="BQ22" s="357"/>
      <c r="BR22" s="357"/>
      <c r="BS22" s="357"/>
      <c r="BT22" s="357"/>
      <c r="BU22" s="357"/>
      <c r="BV22" s="357"/>
    </row>
    <row r="23" spans="1:74" ht="16.350000000000001" customHeight="1" x14ac:dyDescent="0.25">
      <c r="A23" s="80" t="s">
        <v>604</v>
      </c>
      <c r="B23" s="18" t="str">
        <f>$C$9</f>
        <v>Ô tô tự đổ 12T</v>
      </c>
      <c r="C23" s="599" t="s">
        <v>1438</v>
      </c>
      <c r="D23" s="84" t="s">
        <v>1403</v>
      </c>
      <c r="E23" s="599" t="s">
        <v>316</v>
      </c>
      <c r="F23" s="786">
        <f t="shared" si="2"/>
        <v>8.5499999999999986E-3</v>
      </c>
      <c r="G23" s="18" t="str">
        <f t="shared" si="4"/>
        <v>đất</v>
      </c>
      <c r="H23" s="742" t="s">
        <v>1267</v>
      </c>
      <c r="I23" s="2"/>
      <c r="J23" s="907"/>
      <c r="K23" s="907" t="str">
        <f>F9</f>
        <v>D</v>
      </c>
      <c r="L23" s="836" t="s">
        <v>971</v>
      </c>
      <c r="M23" s="907" t="s">
        <v>1431</v>
      </c>
      <c r="N23" s="8">
        <v>57</v>
      </c>
      <c r="O23" s="260">
        <f>H9</f>
        <v>19045</v>
      </c>
      <c r="P23" s="907"/>
      <c r="Q23" s="708">
        <v>1.03</v>
      </c>
      <c r="R23" s="631">
        <f>N23*O23*Q23</f>
        <v>1118131.95</v>
      </c>
      <c r="S23" s="2"/>
      <c r="T23" s="357"/>
      <c r="U23" s="357"/>
      <c r="V23" s="357"/>
      <c r="W23" s="357"/>
      <c r="X23" s="357"/>
      <c r="Y23" s="357"/>
      <c r="Z23" s="357"/>
      <c r="AA23" s="357"/>
      <c r="AB23" s="357"/>
      <c r="AC23" s="357"/>
      <c r="AD23" s="357"/>
      <c r="AE23" s="357"/>
      <c r="AF23" s="357"/>
      <c r="AG23" s="357"/>
      <c r="AH23" s="357"/>
      <c r="AI23" s="357"/>
      <c r="AJ23" s="357"/>
      <c r="AK23" s="357"/>
      <c r="AL23" s="357"/>
      <c r="AM23" s="357"/>
      <c r="AN23" s="357"/>
      <c r="AO23" s="357"/>
      <c r="AP23" s="357"/>
      <c r="AQ23" s="357"/>
      <c r="AR23" s="357"/>
      <c r="AS23" s="357"/>
      <c r="AT23" s="357"/>
      <c r="AU23" s="357"/>
      <c r="AV23" s="357"/>
      <c r="AW23" s="357"/>
      <c r="AX23" s="357"/>
      <c r="AY23" s="357"/>
      <c r="AZ23" s="357"/>
      <c r="BA23" s="357"/>
      <c r="BB23" s="357"/>
      <c r="BC23" s="357"/>
      <c r="BD23" s="357"/>
      <c r="BE23" s="357"/>
      <c r="BF23" s="357"/>
      <c r="BG23" s="357"/>
      <c r="BH23" s="357"/>
      <c r="BI23" s="357"/>
      <c r="BJ23" s="357"/>
      <c r="BK23" s="357"/>
      <c r="BL23" s="357"/>
      <c r="BM23" s="357"/>
      <c r="BN23" s="357"/>
      <c r="BO23" s="357"/>
      <c r="BP23" s="357"/>
      <c r="BQ23" s="357"/>
      <c r="BR23" s="357"/>
      <c r="BS23" s="357"/>
      <c r="BT23" s="357"/>
      <c r="BU23" s="357"/>
      <c r="BV23" s="357"/>
    </row>
    <row r="24" spans="1:74" ht="16.350000000000001" customHeight="1" x14ac:dyDescent="0.25">
      <c r="A24" s="80" t="s">
        <v>1038</v>
      </c>
      <c r="B24" s="18" t="str">
        <f>$C$10</f>
        <v>Ô tô tự đổ 22T</v>
      </c>
      <c r="C24" s="599" t="s">
        <v>1032</v>
      </c>
      <c r="D24" s="84" t="s">
        <v>337</v>
      </c>
      <c r="E24" s="599" t="s">
        <v>662</v>
      </c>
      <c r="F24" s="786">
        <f t="shared" si="2"/>
        <v>4.7499999999999999E-3</v>
      </c>
      <c r="G24" s="18" t="str">
        <f t="shared" si="4"/>
        <v>đất</v>
      </c>
      <c r="H24" s="742" t="s">
        <v>363</v>
      </c>
      <c r="I24" s="2"/>
      <c r="J24" s="688">
        <v>3</v>
      </c>
      <c r="K24" s="688" t="s">
        <v>111</v>
      </c>
      <c r="L24" s="688" t="s">
        <v>1289</v>
      </c>
      <c r="M24" s="688" t="s">
        <v>1272</v>
      </c>
      <c r="N24" s="688"/>
      <c r="O24" s="67">
        <v>812415000</v>
      </c>
      <c r="P24" s="688">
        <v>280</v>
      </c>
      <c r="Q24" s="519"/>
      <c r="R24" s="67">
        <f>R25+R29+R31</f>
        <v>2428784.6428571427</v>
      </c>
      <c r="S24" s="2"/>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c r="BA24" s="357"/>
      <c r="BB24" s="357"/>
      <c r="BC24" s="357"/>
      <c r="BD24" s="357"/>
      <c r="BE24" s="357"/>
      <c r="BF24" s="357"/>
      <c r="BG24" s="357"/>
      <c r="BH24" s="357"/>
      <c r="BI24" s="357"/>
      <c r="BJ24" s="357"/>
      <c r="BK24" s="357"/>
      <c r="BL24" s="357"/>
      <c r="BM24" s="357"/>
      <c r="BN24" s="357"/>
      <c r="BO24" s="357"/>
      <c r="BP24" s="357"/>
      <c r="BQ24" s="357"/>
      <c r="BR24" s="357"/>
      <c r="BS24" s="357"/>
      <c r="BT24" s="357"/>
      <c r="BU24" s="357"/>
      <c r="BV24" s="357"/>
    </row>
    <row r="25" spans="1:74" ht="16.350000000000001" customHeight="1" x14ac:dyDescent="0.25">
      <c r="A25" s="80" t="s">
        <v>974</v>
      </c>
      <c r="B25" s="18" t="str">
        <f>$C$7</f>
        <v>Ô tô tự đổ 7T</v>
      </c>
      <c r="C25" s="599" t="s">
        <v>1027</v>
      </c>
      <c r="D25" s="84" t="s">
        <v>297</v>
      </c>
      <c r="E25" s="599" t="s">
        <v>1438</v>
      </c>
      <c r="F25" s="786">
        <f t="shared" si="2"/>
        <v>1.7099999999999997E-2</v>
      </c>
      <c r="G25" s="18" t="str">
        <f t="shared" ref="G25:G28" si="5">$H$19</f>
        <v>đá dăm các loại</v>
      </c>
      <c r="H25" s="742" t="s">
        <v>625</v>
      </c>
      <c r="I25" s="2"/>
      <c r="J25" s="768"/>
      <c r="K25" s="768"/>
      <c r="L25" s="46" t="s">
        <v>229</v>
      </c>
      <c r="M25" s="768"/>
      <c r="N25" s="768"/>
      <c r="O25" s="90"/>
      <c r="P25" s="768"/>
      <c r="Q25" s="547"/>
      <c r="R25" s="90">
        <f>SUM(R26:R28)</f>
        <v>829823.89285714296</v>
      </c>
      <c r="S25" s="2"/>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c r="BA25" s="357"/>
      <c r="BB25" s="357"/>
      <c r="BC25" s="357"/>
      <c r="BD25" s="357"/>
      <c r="BE25" s="357"/>
      <c r="BF25" s="357"/>
      <c r="BG25" s="357"/>
      <c r="BH25" s="357"/>
      <c r="BI25" s="357"/>
      <c r="BJ25" s="357"/>
      <c r="BK25" s="357"/>
      <c r="BL25" s="357"/>
      <c r="BM25" s="357"/>
      <c r="BN25" s="357"/>
      <c r="BO25" s="357"/>
      <c r="BP25" s="357"/>
      <c r="BQ25" s="357"/>
      <c r="BR25" s="357"/>
      <c r="BS25" s="357"/>
      <c r="BT25" s="357"/>
      <c r="BU25" s="357"/>
      <c r="BV25" s="357"/>
    </row>
    <row r="26" spans="1:74" ht="16.350000000000001" customHeight="1" x14ac:dyDescent="0.25">
      <c r="A26" s="80" t="s">
        <v>1358</v>
      </c>
      <c r="B26" s="18" t="str">
        <f>$C$8</f>
        <v>Ô tô tự đổ 10T</v>
      </c>
      <c r="C26" s="599" t="s">
        <v>680</v>
      </c>
      <c r="D26" s="84" t="s">
        <v>333</v>
      </c>
      <c r="E26" s="599" t="s">
        <v>1403</v>
      </c>
      <c r="F26" s="786">
        <f t="shared" si="2"/>
        <v>1.2349999999999998E-2</v>
      </c>
      <c r="G26" s="18" t="str">
        <f t="shared" si="5"/>
        <v>đá dăm các loại</v>
      </c>
      <c r="H26" s="742" t="s">
        <v>749</v>
      </c>
      <c r="I26" s="2"/>
      <c r="J26" s="80"/>
      <c r="K26" s="80"/>
      <c r="L26" s="18" t="s">
        <v>84</v>
      </c>
      <c r="M26" s="80" t="s">
        <v>1086</v>
      </c>
      <c r="N26" s="652">
        <v>17</v>
      </c>
      <c r="O26" s="334"/>
      <c r="P26" s="80"/>
      <c r="Q26" s="408">
        <v>0.9</v>
      </c>
      <c r="R26" s="334">
        <f>O24*N26*Q26/P24/100</f>
        <v>443926.76785714284</v>
      </c>
      <c r="S26" s="2"/>
      <c r="T26" s="357"/>
      <c r="U26" s="357"/>
      <c r="V26" s="357"/>
      <c r="W26" s="357"/>
      <c r="X26" s="357"/>
      <c r="Y26" s="357"/>
      <c r="Z26" s="357"/>
      <c r="AA26" s="357"/>
      <c r="AB26" s="357"/>
      <c r="AC26" s="357"/>
      <c r="AD26" s="357"/>
      <c r="AE26" s="357"/>
      <c r="AF26" s="357"/>
      <c r="AG26" s="357"/>
      <c r="AH26" s="357"/>
      <c r="AI26" s="357"/>
      <c r="AJ26" s="357"/>
      <c r="AK26" s="357"/>
      <c r="AL26" s="357"/>
      <c r="AM26" s="357"/>
      <c r="AN26" s="357"/>
      <c r="AO26" s="357"/>
      <c r="AP26" s="357"/>
      <c r="AQ26" s="357"/>
      <c r="AR26" s="357"/>
      <c r="AS26" s="357"/>
      <c r="AT26" s="357"/>
      <c r="AU26" s="357"/>
      <c r="AV26" s="357"/>
      <c r="AW26" s="357"/>
      <c r="AX26" s="357"/>
      <c r="AY26" s="357"/>
      <c r="AZ26" s="357"/>
      <c r="BA26" s="357"/>
      <c r="BB26" s="357"/>
      <c r="BC26" s="357"/>
      <c r="BD26" s="357"/>
      <c r="BE26" s="357"/>
      <c r="BF26" s="357"/>
      <c r="BG26" s="357"/>
      <c r="BH26" s="357"/>
      <c r="BI26" s="357"/>
      <c r="BJ26" s="357"/>
      <c r="BK26" s="357"/>
      <c r="BL26" s="357"/>
      <c r="BM26" s="357"/>
      <c r="BN26" s="357"/>
      <c r="BO26" s="357"/>
      <c r="BP26" s="357"/>
      <c r="BQ26" s="357"/>
      <c r="BR26" s="357"/>
      <c r="BS26" s="357"/>
      <c r="BT26" s="357"/>
      <c r="BU26" s="357"/>
      <c r="BV26" s="357"/>
    </row>
    <row r="27" spans="1:74" ht="16.350000000000001" customHeight="1" x14ac:dyDescent="0.25">
      <c r="A27" s="80" t="s">
        <v>257</v>
      </c>
      <c r="B27" s="18" t="str">
        <f>$C$9</f>
        <v>Ô tô tự đổ 12T</v>
      </c>
      <c r="C27" s="599" t="s">
        <v>629</v>
      </c>
      <c r="D27" s="84" t="s">
        <v>660</v>
      </c>
      <c r="E27" s="599" t="s">
        <v>633</v>
      </c>
      <c r="F27" s="786">
        <f t="shared" si="2"/>
        <v>9.4999999999999998E-3</v>
      </c>
      <c r="G27" s="18" t="str">
        <f t="shared" si="5"/>
        <v>đá dăm các loại</v>
      </c>
      <c r="H27" s="742" t="s">
        <v>66</v>
      </c>
      <c r="I27" s="2"/>
      <c r="J27" s="80"/>
      <c r="K27" s="80"/>
      <c r="L27" s="18" t="s">
        <v>168</v>
      </c>
      <c r="M27" s="80" t="s">
        <v>1086</v>
      </c>
      <c r="N27" s="652">
        <v>7.3</v>
      </c>
      <c r="O27" s="334"/>
      <c r="P27" s="80"/>
      <c r="Q27" s="771"/>
      <c r="R27" s="334">
        <f>O24*N27/P24/100</f>
        <v>211808.19642857142</v>
      </c>
      <c r="S27" s="2"/>
      <c r="T27" s="357"/>
      <c r="U27" s="357"/>
      <c r="V27" s="357"/>
      <c r="W27" s="357"/>
      <c r="X27" s="357"/>
      <c r="Y27" s="357"/>
      <c r="Z27" s="357"/>
      <c r="AA27" s="357"/>
      <c r="AB27" s="357"/>
      <c r="AC27" s="357"/>
      <c r="AD27" s="357"/>
      <c r="AE27" s="357"/>
      <c r="AF27" s="357"/>
      <c r="AG27" s="357"/>
      <c r="AH27" s="357"/>
      <c r="AI27" s="357"/>
      <c r="AJ27" s="357"/>
      <c r="AK27" s="357"/>
      <c r="AL27" s="357"/>
      <c r="AM27" s="357"/>
      <c r="AN27" s="357"/>
      <c r="AO27" s="357"/>
      <c r="AP27" s="357"/>
      <c r="AQ27" s="357"/>
      <c r="AR27" s="357"/>
      <c r="AS27" s="357"/>
      <c r="AT27" s="357"/>
      <c r="AU27" s="357"/>
      <c r="AV27" s="357"/>
      <c r="AW27" s="357"/>
      <c r="AX27" s="357"/>
      <c r="AY27" s="357"/>
      <c r="AZ27" s="357"/>
      <c r="BA27" s="357"/>
      <c r="BB27" s="357"/>
      <c r="BC27" s="357"/>
      <c r="BD27" s="357"/>
      <c r="BE27" s="357"/>
      <c r="BF27" s="357"/>
      <c r="BG27" s="357"/>
      <c r="BH27" s="357"/>
      <c r="BI27" s="357"/>
      <c r="BJ27" s="357"/>
      <c r="BK27" s="357"/>
      <c r="BL27" s="357"/>
      <c r="BM27" s="357"/>
      <c r="BN27" s="357"/>
      <c r="BO27" s="357"/>
      <c r="BP27" s="357"/>
      <c r="BQ27" s="357"/>
      <c r="BR27" s="357"/>
      <c r="BS27" s="357"/>
      <c r="BT27" s="357"/>
      <c r="BU27" s="357"/>
      <c r="BV27" s="357"/>
    </row>
    <row r="28" spans="1:74" ht="16.350000000000001" customHeight="1" x14ac:dyDescent="0.25">
      <c r="A28" s="80" t="s">
        <v>235</v>
      </c>
      <c r="B28" s="18" t="str">
        <f>$C$10</f>
        <v>Ô tô tự đổ 22T</v>
      </c>
      <c r="C28" s="599" t="s">
        <v>300</v>
      </c>
      <c r="D28" s="84" t="s">
        <v>316</v>
      </c>
      <c r="E28" s="599" t="s">
        <v>1440</v>
      </c>
      <c r="F28" s="786">
        <f t="shared" si="2"/>
        <v>6.6499999999999997E-3</v>
      </c>
      <c r="G28" s="18" t="str">
        <f t="shared" si="5"/>
        <v>đá dăm các loại</v>
      </c>
      <c r="H28" s="413" t="s">
        <v>1164</v>
      </c>
      <c r="I28" s="2"/>
      <c r="J28" s="80"/>
      <c r="K28" s="80"/>
      <c r="L28" s="18" t="s">
        <v>432</v>
      </c>
      <c r="M28" s="80" t="s">
        <v>1086</v>
      </c>
      <c r="N28" s="652">
        <v>6</v>
      </c>
      <c r="O28" s="334"/>
      <c r="P28" s="80"/>
      <c r="Q28" s="771"/>
      <c r="R28" s="334">
        <f>O24*N28/P24/100</f>
        <v>174088.92857142858</v>
      </c>
      <c r="S28" s="2"/>
      <c r="T28" s="357"/>
      <c r="U28" s="357"/>
      <c r="V28" s="357"/>
      <c r="W28" s="357"/>
      <c r="X28" s="357"/>
      <c r="Y28" s="357"/>
      <c r="Z28" s="357"/>
      <c r="AA28" s="357"/>
      <c r="AB28" s="357"/>
      <c r="AC28" s="357"/>
      <c r="AD28" s="357"/>
      <c r="AE28" s="357"/>
      <c r="AF28" s="357"/>
      <c r="AG28" s="357"/>
      <c r="AH28" s="357"/>
      <c r="AI28" s="357"/>
      <c r="AJ28" s="357"/>
      <c r="AK28" s="357"/>
      <c r="AL28" s="357"/>
      <c r="AM28" s="357"/>
      <c r="AN28" s="357"/>
      <c r="AO28" s="357"/>
      <c r="AP28" s="357"/>
      <c r="AQ28" s="357"/>
      <c r="AR28" s="357"/>
      <c r="AS28" s="357"/>
      <c r="AT28" s="357"/>
      <c r="AU28" s="357"/>
      <c r="AV28" s="357"/>
      <c r="AW28" s="357"/>
      <c r="AX28" s="357"/>
      <c r="AY28" s="357"/>
      <c r="AZ28" s="357"/>
      <c r="BA28" s="357"/>
      <c r="BB28" s="357"/>
      <c r="BC28" s="357"/>
      <c r="BD28" s="357"/>
      <c r="BE28" s="357"/>
      <c r="BF28" s="357"/>
      <c r="BG28" s="357"/>
      <c r="BH28" s="357"/>
      <c r="BI28" s="357"/>
      <c r="BJ28" s="357"/>
      <c r="BK28" s="357"/>
      <c r="BL28" s="357"/>
      <c r="BM28" s="357"/>
      <c r="BN28" s="357"/>
      <c r="BO28" s="357"/>
      <c r="BP28" s="357"/>
      <c r="BQ28" s="357"/>
      <c r="BR28" s="357"/>
      <c r="BS28" s="357"/>
      <c r="BT28" s="357"/>
      <c r="BU28" s="357"/>
      <c r="BV28" s="357"/>
    </row>
    <row r="29" spans="1:74" ht="16.5" customHeight="1" x14ac:dyDescent="0.25">
      <c r="A29" s="80" t="s">
        <v>557</v>
      </c>
      <c r="B29" s="18" t="str">
        <f>$C$7</f>
        <v>Ô tô tự đổ 7T</v>
      </c>
      <c r="C29" s="599" t="s">
        <v>1027</v>
      </c>
      <c r="D29" s="84" t="s">
        <v>297</v>
      </c>
      <c r="E29" s="599" t="s">
        <v>660</v>
      </c>
      <c r="F29" s="786">
        <f t="shared" si="2"/>
        <v>1.52E-2</v>
      </c>
      <c r="G29" s="18" t="str">
        <f t="shared" ref="G29:G32" si="6">$H$20</f>
        <v>đá hộc</v>
      </c>
      <c r="H29" s="742" t="s">
        <v>348</v>
      </c>
      <c r="I29" s="2"/>
      <c r="J29" s="80"/>
      <c r="K29" s="80"/>
      <c r="L29" s="279" t="s">
        <v>1404</v>
      </c>
      <c r="M29" s="80"/>
      <c r="N29" s="80"/>
      <c r="O29" s="334"/>
      <c r="P29" s="80"/>
      <c r="Q29" s="771"/>
      <c r="R29" s="334">
        <f>SUM(R30:R30)</f>
        <v>323898</v>
      </c>
      <c r="S29" s="2"/>
      <c r="T29" s="357"/>
      <c r="U29" s="357"/>
      <c r="V29" s="357"/>
      <c r="W29" s="357"/>
      <c r="X29" s="357"/>
      <c r="Y29" s="357"/>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7"/>
      <c r="AZ29" s="357"/>
      <c r="BA29" s="357"/>
      <c r="BB29" s="357"/>
      <c r="BC29" s="357"/>
      <c r="BD29" s="357"/>
      <c r="BE29" s="357"/>
      <c r="BF29" s="357"/>
      <c r="BG29" s="357"/>
      <c r="BH29" s="357"/>
      <c r="BI29" s="357"/>
      <c r="BJ29" s="357"/>
      <c r="BK29" s="357"/>
      <c r="BL29" s="357"/>
      <c r="BM29" s="357"/>
      <c r="BN29" s="357"/>
      <c r="BO29" s="357"/>
      <c r="BP29" s="357"/>
      <c r="BQ29" s="357"/>
      <c r="BR29" s="357"/>
      <c r="BS29" s="357"/>
      <c r="BT29" s="357"/>
      <c r="BU29" s="357"/>
      <c r="BV29" s="357"/>
    </row>
    <row r="30" spans="1:74" ht="16.350000000000001" customHeight="1" x14ac:dyDescent="0.25">
      <c r="A30" s="80" t="s">
        <v>970</v>
      </c>
      <c r="B30" s="18" t="str">
        <f>$C$8</f>
        <v>Ô tô tự đổ 10T</v>
      </c>
      <c r="C30" s="599" t="s">
        <v>297</v>
      </c>
      <c r="D30" s="84" t="s">
        <v>1438</v>
      </c>
      <c r="E30" s="599" t="s">
        <v>1032</v>
      </c>
      <c r="F30" s="786">
        <f t="shared" si="2"/>
        <v>1.14E-2</v>
      </c>
      <c r="G30" s="18" t="str">
        <f t="shared" si="6"/>
        <v>đá hộc</v>
      </c>
      <c r="H30" s="742" t="s">
        <v>1218</v>
      </c>
      <c r="I30" s="2"/>
      <c r="J30" s="80"/>
      <c r="K30" s="80" t="str">
        <f>F8</f>
        <v>NLX434</v>
      </c>
      <c r="L30" s="18" t="s">
        <v>853</v>
      </c>
      <c r="M30" s="80" t="s">
        <v>239</v>
      </c>
      <c r="N30" s="652">
        <v>1</v>
      </c>
      <c r="O30" s="345">
        <f>H8</f>
        <v>323898</v>
      </c>
      <c r="P30" s="80"/>
      <c r="Q30" s="771"/>
      <c r="R30" s="334">
        <f>N30*O30</f>
        <v>323898</v>
      </c>
      <c r="S30" s="2"/>
      <c r="T30" s="357"/>
      <c r="U30" s="357"/>
      <c r="V30" s="357"/>
      <c r="W30" s="357"/>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7"/>
      <c r="AZ30" s="357"/>
      <c r="BA30" s="357"/>
      <c r="BB30" s="357"/>
      <c r="BC30" s="357"/>
      <c r="BD30" s="357"/>
      <c r="BE30" s="357"/>
      <c r="BF30" s="357"/>
      <c r="BG30" s="357"/>
      <c r="BH30" s="357"/>
      <c r="BI30" s="357"/>
      <c r="BJ30" s="357"/>
      <c r="BK30" s="357"/>
      <c r="BL30" s="357"/>
      <c r="BM30" s="357"/>
      <c r="BN30" s="357"/>
      <c r="BO30" s="357"/>
      <c r="BP30" s="357"/>
      <c r="BQ30" s="357"/>
      <c r="BR30" s="357"/>
      <c r="BS30" s="357"/>
      <c r="BT30" s="357"/>
      <c r="BU30" s="357"/>
      <c r="BV30" s="357"/>
    </row>
    <row r="31" spans="1:74" ht="16.350000000000001" customHeight="1" x14ac:dyDescent="0.25">
      <c r="A31" s="80" t="s">
        <v>1355</v>
      </c>
      <c r="B31" s="18" t="str">
        <f>$C$9</f>
        <v>Ô tô tự đổ 12T</v>
      </c>
      <c r="C31" s="599" t="s">
        <v>253</v>
      </c>
      <c r="D31" s="84" t="s">
        <v>682</v>
      </c>
      <c r="E31" s="599" t="s">
        <v>316</v>
      </c>
      <c r="F31" s="786">
        <f t="shared" si="2"/>
        <v>8.5499999999999986E-3</v>
      </c>
      <c r="G31" s="18" t="str">
        <f t="shared" si="6"/>
        <v>đá hộc</v>
      </c>
      <c r="H31" s="742"/>
      <c r="I31" s="2"/>
      <c r="J31" s="80"/>
      <c r="K31" s="80"/>
      <c r="L31" s="279" t="s">
        <v>1364</v>
      </c>
      <c r="M31" s="80"/>
      <c r="N31" s="80"/>
      <c r="O31" s="334"/>
      <c r="P31" s="80"/>
      <c r="Q31" s="771"/>
      <c r="R31" s="334">
        <f>SUM(R32:R32)</f>
        <v>1275062.75</v>
      </c>
      <c r="S31" s="2"/>
      <c r="T31" s="357"/>
      <c r="U31" s="357"/>
      <c r="V31" s="357"/>
      <c r="W31" s="357"/>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c r="BA31" s="357"/>
      <c r="BB31" s="357"/>
      <c r="BC31" s="357"/>
      <c r="BD31" s="357"/>
      <c r="BE31" s="357"/>
      <c r="BF31" s="357"/>
      <c r="BG31" s="357"/>
      <c r="BH31" s="357"/>
      <c r="BI31" s="357"/>
      <c r="BJ31" s="357"/>
      <c r="BK31" s="357"/>
      <c r="BL31" s="357"/>
      <c r="BM31" s="357"/>
      <c r="BN31" s="357"/>
      <c r="BO31" s="357"/>
      <c r="BP31" s="357"/>
      <c r="BQ31" s="357"/>
      <c r="BR31" s="357"/>
      <c r="BS31" s="357"/>
      <c r="BT31" s="357"/>
      <c r="BU31" s="357"/>
      <c r="BV31" s="357"/>
    </row>
    <row r="32" spans="1:74" ht="16.350000000000001" customHeight="1" x14ac:dyDescent="0.25">
      <c r="A32" s="657" t="s">
        <v>254</v>
      </c>
      <c r="B32" s="593" t="str">
        <f>$C$10</f>
        <v>Ô tô tự đổ 22T</v>
      </c>
      <c r="C32" s="231" t="s">
        <v>1403</v>
      </c>
      <c r="D32" s="662" t="s">
        <v>316</v>
      </c>
      <c r="E32" s="231" t="s">
        <v>1089</v>
      </c>
      <c r="F32" s="435">
        <f t="shared" si="2"/>
        <v>5.7000000000000002E-3</v>
      </c>
      <c r="G32" s="593" t="str">
        <f t="shared" si="6"/>
        <v>đá hộc</v>
      </c>
      <c r="H32" s="742"/>
      <c r="I32" s="2"/>
      <c r="J32" s="907"/>
      <c r="K32" s="907" t="str">
        <f>F9</f>
        <v>D</v>
      </c>
      <c r="L32" s="836" t="s">
        <v>971</v>
      </c>
      <c r="M32" s="907" t="s">
        <v>1431</v>
      </c>
      <c r="N32" s="8">
        <v>65</v>
      </c>
      <c r="O32" s="260">
        <f>H9</f>
        <v>19045</v>
      </c>
      <c r="P32" s="907"/>
      <c r="Q32" s="708">
        <v>1.03</v>
      </c>
      <c r="R32" s="631">
        <f>N32*O32*Q32</f>
        <v>1275062.75</v>
      </c>
      <c r="S32" s="2"/>
      <c r="T32" s="357"/>
      <c r="U32" s="357"/>
      <c r="V32" s="357"/>
      <c r="W32" s="357"/>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c r="BA32" s="357"/>
      <c r="BB32" s="357"/>
      <c r="BC32" s="357"/>
      <c r="BD32" s="357"/>
      <c r="BE32" s="357"/>
      <c r="BF32" s="357"/>
      <c r="BG32" s="357"/>
      <c r="BH32" s="357"/>
      <c r="BI32" s="357"/>
      <c r="BJ32" s="357"/>
      <c r="BK32" s="357"/>
      <c r="BL32" s="357"/>
      <c r="BM32" s="357"/>
      <c r="BN32" s="357"/>
      <c r="BO32" s="357"/>
      <c r="BP32" s="357"/>
      <c r="BQ32" s="357"/>
      <c r="BR32" s="357"/>
      <c r="BS32" s="357"/>
      <c r="BT32" s="357"/>
      <c r="BU32" s="357"/>
      <c r="BV32" s="357"/>
    </row>
    <row r="33" spans="1:74" ht="16.350000000000001" customHeight="1" x14ac:dyDescent="0.25">
      <c r="A33" s="2"/>
      <c r="B33" s="2"/>
      <c r="C33" s="2"/>
      <c r="D33" s="2"/>
      <c r="E33" s="2"/>
      <c r="F33" s="812"/>
      <c r="G33" s="2"/>
      <c r="H33" s="742"/>
      <c r="I33" s="2"/>
      <c r="J33" s="688">
        <v>4</v>
      </c>
      <c r="K33" s="688" t="s">
        <v>1110</v>
      </c>
      <c r="L33" s="688" t="s">
        <v>1124</v>
      </c>
      <c r="M33" s="688" t="s">
        <v>1272</v>
      </c>
      <c r="N33" s="688"/>
      <c r="O33" s="67">
        <v>1802194000</v>
      </c>
      <c r="P33" s="688">
        <v>300</v>
      </c>
      <c r="Q33" s="519"/>
      <c r="R33" s="67">
        <f>R34+R38+R40</f>
        <v>3360214.5366666666</v>
      </c>
      <c r="S33" s="2"/>
      <c r="T33" s="357"/>
      <c r="U33" s="357"/>
      <c r="V33" s="357"/>
      <c r="W33" s="357"/>
      <c r="X33" s="357"/>
      <c r="Y33" s="357"/>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7"/>
      <c r="AZ33" s="357"/>
      <c r="BA33" s="357"/>
      <c r="BB33" s="357"/>
      <c r="BC33" s="357"/>
      <c r="BD33" s="357"/>
      <c r="BE33" s="357"/>
      <c r="BF33" s="357"/>
      <c r="BG33" s="357"/>
      <c r="BH33" s="357"/>
      <c r="BI33" s="357"/>
      <c r="BJ33" s="357"/>
      <c r="BK33" s="357"/>
      <c r="BL33" s="357"/>
      <c r="BM33" s="357"/>
      <c r="BN33" s="357"/>
      <c r="BO33" s="357"/>
      <c r="BP33" s="357"/>
      <c r="BQ33" s="357"/>
      <c r="BR33" s="357"/>
      <c r="BS33" s="357"/>
      <c r="BT33" s="357"/>
      <c r="BU33" s="357"/>
      <c r="BV33" s="357"/>
    </row>
    <row r="34" spans="1:74" ht="15.4" customHeight="1" x14ac:dyDescent="0.25">
      <c r="A34" s="1118" t="s">
        <v>318</v>
      </c>
      <c r="B34" s="1118"/>
      <c r="C34" s="1118"/>
      <c r="D34" s="1118"/>
      <c r="E34" s="2" t="s">
        <v>35</v>
      </c>
      <c r="F34" s="322">
        <v>0.95</v>
      </c>
      <c r="G34" s="2"/>
      <c r="H34" s="812"/>
      <c r="I34" s="2"/>
      <c r="J34" s="768"/>
      <c r="K34" s="768"/>
      <c r="L34" s="46" t="s">
        <v>229</v>
      </c>
      <c r="M34" s="768"/>
      <c r="N34" s="768"/>
      <c r="O34" s="90"/>
      <c r="P34" s="768"/>
      <c r="Q34" s="547"/>
      <c r="R34" s="90">
        <f>SUM(R35:R37)</f>
        <v>1525857.5866666667</v>
      </c>
      <c r="S34" s="2"/>
      <c r="T34" s="357"/>
      <c r="U34" s="357"/>
      <c r="V34" s="357"/>
      <c r="W34" s="357"/>
      <c r="X34" s="357"/>
      <c r="Y34" s="357"/>
      <c r="Z34" s="357"/>
      <c r="AA34" s="357"/>
      <c r="AB34" s="357"/>
      <c r="AC34" s="357"/>
      <c r="AD34" s="357"/>
      <c r="AE34" s="357"/>
      <c r="AF34" s="357"/>
      <c r="AG34" s="357"/>
      <c r="AH34" s="357"/>
      <c r="AI34" s="357"/>
      <c r="AJ34" s="357"/>
      <c r="AK34" s="357"/>
      <c r="AL34" s="357"/>
      <c r="AM34" s="357"/>
      <c r="AN34" s="357"/>
      <c r="AO34" s="357"/>
      <c r="AP34" s="357"/>
      <c r="AQ34" s="357"/>
      <c r="AR34" s="357"/>
      <c r="AS34" s="357"/>
      <c r="AT34" s="357"/>
      <c r="AU34" s="357"/>
      <c r="AV34" s="357"/>
      <c r="AW34" s="357"/>
      <c r="AX34" s="357"/>
      <c r="AY34" s="357"/>
      <c r="AZ34" s="357"/>
      <c r="BA34" s="357"/>
      <c r="BB34" s="357"/>
      <c r="BC34" s="357"/>
      <c r="BD34" s="357"/>
      <c r="BE34" s="357"/>
      <c r="BF34" s="357"/>
      <c r="BG34" s="357"/>
      <c r="BH34" s="357"/>
      <c r="BI34" s="357"/>
      <c r="BJ34" s="357"/>
      <c r="BK34" s="357"/>
      <c r="BL34" s="357"/>
      <c r="BM34" s="357"/>
      <c r="BN34" s="357"/>
      <c r="BO34" s="357"/>
      <c r="BP34" s="357"/>
      <c r="BQ34" s="357"/>
      <c r="BR34" s="357"/>
      <c r="BS34" s="357"/>
      <c r="BT34" s="357"/>
      <c r="BU34" s="357"/>
      <c r="BV34" s="357"/>
    </row>
    <row r="35" spans="1:74" ht="15.4" customHeight="1" x14ac:dyDescent="0.25">
      <c r="A35" s="688" t="s">
        <v>876</v>
      </c>
      <c r="B35" s="688" t="s">
        <v>1384</v>
      </c>
      <c r="C35" s="688" t="s">
        <v>431</v>
      </c>
      <c r="D35" s="688" t="s">
        <v>1414</v>
      </c>
      <c r="E35" s="688" t="s">
        <v>715</v>
      </c>
      <c r="F35" s="688" t="s">
        <v>1161</v>
      </c>
      <c r="G35" s="688"/>
      <c r="H35" s="812"/>
      <c r="I35" s="2"/>
      <c r="J35" s="80"/>
      <c r="K35" s="80"/>
      <c r="L35" s="18" t="s">
        <v>84</v>
      </c>
      <c r="M35" s="80" t="s">
        <v>1086</v>
      </c>
      <c r="N35" s="652">
        <v>14</v>
      </c>
      <c r="O35" s="334"/>
      <c r="P35" s="80"/>
      <c r="Q35" s="408">
        <v>0.9</v>
      </c>
      <c r="R35" s="334">
        <f>O33*N35*Q35/P33/100</f>
        <v>756921.48</v>
      </c>
      <c r="S35" s="2"/>
      <c r="T35" s="357"/>
      <c r="U35" s="357"/>
      <c r="V35" s="357"/>
      <c r="W35" s="357"/>
      <c r="X35" s="357"/>
      <c r="Y35" s="357"/>
      <c r="Z35" s="357"/>
      <c r="AA35" s="357"/>
      <c r="AB35" s="357"/>
      <c r="AC35" s="357"/>
      <c r="AD35" s="357"/>
      <c r="AE35" s="357"/>
      <c r="AF35" s="357"/>
      <c r="AG35" s="357"/>
      <c r="AH35" s="357"/>
      <c r="AI35" s="357"/>
      <c r="AJ35" s="357"/>
      <c r="AK35" s="357"/>
      <c r="AL35" s="357"/>
      <c r="AM35" s="357"/>
      <c r="AN35" s="357"/>
      <c r="AO35" s="357"/>
      <c r="AP35" s="357"/>
      <c r="AQ35" s="357"/>
      <c r="AR35" s="357"/>
      <c r="AS35" s="357"/>
      <c r="AT35" s="357"/>
      <c r="AU35" s="357"/>
      <c r="AV35" s="357"/>
      <c r="AW35" s="357"/>
      <c r="AX35" s="357"/>
      <c r="AY35" s="357"/>
      <c r="AZ35" s="357"/>
      <c r="BA35" s="357"/>
      <c r="BB35" s="357"/>
      <c r="BC35" s="357"/>
      <c r="BD35" s="357"/>
      <c r="BE35" s="357"/>
      <c r="BF35" s="357"/>
      <c r="BG35" s="357"/>
      <c r="BH35" s="357"/>
      <c r="BI35" s="357"/>
      <c r="BJ35" s="357"/>
      <c r="BK35" s="357"/>
      <c r="BL35" s="357"/>
      <c r="BM35" s="357"/>
      <c r="BN35" s="357"/>
      <c r="BO35" s="357"/>
      <c r="BP35" s="357"/>
      <c r="BQ35" s="357"/>
      <c r="BR35" s="357"/>
      <c r="BS35" s="357"/>
      <c r="BT35" s="357"/>
      <c r="BU35" s="357"/>
      <c r="BV35" s="357"/>
    </row>
    <row r="36" spans="1:74" ht="15.4" customHeight="1" x14ac:dyDescent="0.25">
      <c r="A36" s="709" t="s">
        <v>443</v>
      </c>
      <c r="B36" s="655" t="str">
        <f>$C$11</f>
        <v>Ô tô thùng 7T</v>
      </c>
      <c r="C36" s="291" t="s">
        <v>614</v>
      </c>
      <c r="D36" s="291" t="s">
        <v>1050</v>
      </c>
      <c r="E36" s="291" t="s">
        <v>678</v>
      </c>
      <c r="F36" s="496">
        <f t="shared" ref="F36:F56" si="7">E36*$F$34</f>
        <v>3.5149999999999994E-2</v>
      </c>
      <c r="G36" s="655" t="str">
        <f t="shared" ref="G36:G38" si="8">$H$21</f>
        <v>gạch xây các loại</v>
      </c>
      <c r="H36" s="812"/>
      <c r="I36" s="2"/>
      <c r="J36" s="80"/>
      <c r="K36" s="80"/>
      <c r="L36" s="18" t="s">
        <v>168</v>
      </c>
      <c r="M36" s="80" t="s">
        <v>1086</v>
      </c>
      <c r="N36" s="652">
        <v>6.8</v>
      </c>
      <c r="O36" s="334"/>
      <c r="P36" s="80"/>
      <c r="Q36" s="771"/>
      <c r="R36" s="334">
        <f>O33*N36/P33/100</f>
        <v>408497.30666666664</v>
      </c>
      <c r="S36" s="2"/>
      <c r="T36" s="357"/>
      <c r="U36" s="357"/>
      <c r="V36" s="357"/>
      <c r="W36" s="357"/>
      <c r="X36" s="357"/>
      <c r="Y36" s="357"/>
      <c r="Z36" s="357"/>
      <c r="AA36" s="357"/>
      <c r="AB36" s="357"/>
      <c r="AC36" s="357"/>
      <c r="AD36" s="357"/>
      <c r="AE36" s="357"/>
      <c r="AF36" s="357"/>
      <c r="AG36" s="357"/>
      <c r="AH36" s="357"/>
      <c r="AI36" s="357"/>
      <c r="AJ36" s="357"/>
      <c r="AK36" s="357"/>
      <c r="AL36" s="357"/>
      <c r="AM36" s="357"/>
      <c r="AN36" s="357"/>
      <c r="AO36" s="357"/>
      <c r="AP36" s="357"/>
      <c r="AQ36" s="357"/>
      <c r="AR36" s="357"/>
      <c r="AS36" s="357"/>
      <c r="AT36" s="357"/>
      <c r="AU36" s="357"/>
      <c r="AV36" s="357"/>
      <c r="AW36" s="357"/>
      <c r="AX36" s="357"/>
      <c r="AY36" s="357"/>
      <c r="AZ36" s="357"/>
      <c r="BA36" s="357"/>
      <c r="BB36" s="357"/>
      <c r="BC36" s="357"/>
      <c r="BD36" s="357"/>
      <c r="BE36" s="357"/>
      <c r="BF36" s="357"/>
      <c r="BG36" s="357"/>
      <c r="BH36" s="357"/>
      <c r="BI36" s="357"/>
      <c r="BJ36" s="357"/>
      <c r="BK36" s="357"/>
      <c r="BL36" s="357"/>
      <c r="BM36" s="357"/>
      <c r="BN36" s="357"/>
      <c r="BO36" s="357"/>
      <c r="BP36" s="357"/>
      <c r="BQ36" s="357"/>
      <c r="BR36" s="357"/>
      <c r="BS36" s="357"/>
      <c r="BT36" s="357"/>
      <c r="BU36" s="357"/>
      <c r="BV36" s="357"/>
    </row>
    <row r="37" spans="1:74" ht="16.350000000000001" customHeight="1" x14ac:dyDescent="0.25">
      <c r="A37" s="80" t="s">
        <v>850</v>
      </c>
      <c r="B37" s="18" t="str">
        <f>$C$12</f>
        <v>Ô tô thùng 12T</v>
      </c>
      <c r="C37" s="599" t="s">
        <v>652</v>
      </c>
      <c r="D37" s="599" t="s">
        <v>294</v>
      </c>
      <c r="E37" s="599" t="s">
        <v>1031</v>
      </c>
      <c r="F37" s="786">
        <f t="shared" si="7"/>
        <v>2.1849999999999998E-2</v>
      </c>
      <c r="G37" s="18" t="str">
        <f t="shared" si="8"/>
        <v>gạch xây các loại</v>
      </c>
      <c r="H37" s="812"/>
      <c r="I37" s="2"/>
      <c r="J37" s="80"/>
      <c r="K37" s="80"/>
      <c r="L37" s="18" t="s">
        <v>432</v>
      </c>
      <c r="M37" s="80" t="s">
        <v>1086</v>
      </c>
      <c r="N37" s="652">
        <v>6</v>
      </c>
      <c r="O37" s="334"/>
      <c r="P37" s="80"/>
      <c r="Q37" s="771"/>
      <c r="R37" s="334">
        <f>O33*N37/P33/100</f>
        <v>360438.8</v>
      </c>
      <c r="S37" s="2"/>
      <c r="T37" s="357"/>
      <c r="U37" s="357"/>
      <c r="V37" s="357"/>
      <c r="W37" s="357"/>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7"/>
      <c r="AT37" s="357"/>
      <c r="AU37" s="357"/>
      <c r="AV37" s="357"/>
      <c r="AW37" s="357"/>
      <c r="AX37" s="357"/>
      <c r="AY37" s="357"/>
      <c r="AZ37" s="357"/>
      <c r="BA37" s="357"/>
      <c r="BB37" s="357"/>
      <c r="BC37" s="357"/>
      <c r="BD37" s="357"/>
      <c r="BE37" s="357"/>
      <c r="BF37" s="357"/>
      <c r="BG37" s="357"/>
      <c r="BH37" s="357"/>
      <c r="BI37" s="357"/>
      <c r="BJ37" s="357"/>
      <c r="BK37" s="357"/>
      <c r="BL37" s="357"/>
      <c r="BM37" s="357"/>
      <c r="BN37" s="357"/>
      <c r="BO37" s="357"/>
      <c r="BP37" s="357"/>
      <c r="BQ37" s="357"/>
      <c r="BR37" s="357"/>
      <c r="BS37" s="357"/>
      <c r="BT37" s="357"/>
      <c r="BU37" s="357"/>
      <c r="BV37" s="357"/>
    </row>
    <row r="38" spans="1:74" ht="16.350000000000001" customHeight="1" x14ac:dyDescent="0.25">
      <c r="A38" s="80" t="s">
        <v>1246</v>
      </c>
      <c r="B38" s="18" t="str">
        <f>$C$13</f>
        <v>Ô tô thùng 20T</v>
      </c>
      <c r="C38" s="599" t="s">
        <v>1083</v>
      </c>
      <c r="D38" s="599" t="s">
        <v>253</v>
      </c>
      <c r="E38" s="599" t="s">
        <v>300</v>
      </c>
      <c r="F38" s="786">
        <f t="shared" si="7"/>
        <v>1.3299999999999999E-2</v>
      </c>
      <c r="G38" s="18" t="str">
        <f t="shared" si="8"/>
        <v>gạch xây các loại</v>
      </c>
      <c r="H38" s="812"/>
      <c r="I38" s="2"/>
      <c r="J38" s="80"/>
      <c r="K38" s="80"/>
      <c r="L38" s="279" t="s">
        <v>1404</v>
      </c>
      <c r="M38" s="80"/>
      <c r="N38" s="80"/>
      <c r="O38" s="334"/>
      <c r="P38" s="80"/>
      <c r="Q38" s="771"/>
      <c r="R38" s="334">
        <f>SUM(R39:R39)</f>
        <v>323898</v>
      </c>
      <c r="S38" s="2"/>
      <c r="T38" s="357"/>
      <c r="U38" s="357"/>
      <c r="V38" s="357"/>
      <c r="W38" s="357"/>
      <c r="X38" s="357"/>
      <c r="Y38" s="357"/>
      <c r="Z38" s="357"/>
      <c r="AA38" s="357"/>
      <c r="AB38" s="357"/>
      <c r="AC38" s="357"/>
      <c r="AD38" s="357"/>
      <c r="AE38" s="357"/>
      <c r="AF38" s="357"/>
      <c r="AG38" s="357"/>
      <c r="AH38" s="357"/>
      <c r="AI38" s="357"/>
      <c r="AJ38" s="357"/>
      <c r="AK38" s="357"/>
      <c r="AL38" s="357"/>
      <c r="AM38" s="357"/>
      <c r="AN38" s="357"/>
      <c r="AO38" s="357"/>
      <c r="AP38" s="357"/>
      <c r="AQ38" s="357"/>
      <c r="AR38" s="357"/>
      <c r="AS38" s="357"/>
      <c r="AT38" s="357"/>
      <c r="AU38" s="357"/>
      <c r="AV38" s="357"/>
      <c r="AW38" s="357"/>
      <c r="AX38" s="357"/>
      <c r="AY38" s="357"/>
      <c r="AZ38" s="357"/>
      <c r="BA38" s="357"/>
      <c r="BB38" s="357"/>
      <c r="BC38" s="357"/>
      <c r="BD38" s="357"/>
      <c r="BE38" s="357"/>
      <c r="BF38" s="357"/>
      <c r="BG38" s="357"/>
      <c r="BH38" s="357"/>
      <c r="BI38" s="357"/>
      <c r="BJ38" s="357"/>
      <c r="BK38" s="357"/>
      <c r="BL38" s="357"/>
      <c r="BM38" s="357"/>
      <c r="BN38" s="357"/>
      <c r="BO38" s="357"/>
      <c r="BP38" s="357"/>
      <c r="BQ38" s="357"/>
      <c r="BR38" s="357"/>
      <c r="BS38" s="357"/>
      <c r="BT38" s="357"/>
      <c r="BU38" s="357"/>
      <c r="BV38" s="357"/>
    </row>
    <row r="39" spans="1:74" ht="16.350000000000001" customHeight="1" x14ac:dyDescent="0.25">
      <c r="A39" s="80" t="s">
        <v>72</v>
      </c>
      <c r="B39" s="18" t="str">
        <f>$C$11</f>
        <v>Ô tô thùng 7T</v>
      </c>
      <c r="C39" s="599" t="s">
        <v>145</v>
      </c>
      <c r="D39" s="599" t="s">
        <v>1012</v>
      </c>
      <c r="E39" s="599" t="s">
        <v>247</v>
      </c>
      <c r="F39" s="786">
        <f t="shared" si="7"/>
        <v>5.0349999999999999E-2</v>
      </c>
      <c r="G39" s="18" t="str">
        <f t="shared" ref="G39:G41" si="9">$H$22</f>
        <v>gạch ốp lát các loại</v>
      </c>
      <c r="H39" s="812"/>
      <c r="I39" s="2"/>
      <c r="J39" s="80"/>
      <c r="K39" s="80" t="str">
        <f>F8</f>
        <v>NLX434</v>
      </c>
      <c r="L39" s="18" t="s">
        <v>853</v>
      </c>
      <c r="M39" s="80" t="s">
        <v>239</v>
      </c>
      <c r="N39" s="652">
        <v>1</v>
      </c>
      <c r="O39" s="345">
        <f>H8</f>
        <v>323898</v>
      </c>
      <c r="P39" s="80"/>
      <c r="Q39" s="771"/>
      <c r="R39" s="334">
        <f>N39*O39</f>
        <v>323898</v>
      </c>
      <c r="S39" s="2"/>
      <c r="T39" s="357"/>
      <c r="U39" s="357"/>
      <c r="V39" s="357"/>
      <c r="W39" s="357"/>
      <c r="X39" s="357"/>
      <c r="Y39" s="357"/>
      <c r="Z39" s="357"/>
      <c r="AA39" s="357"/>
      <c r="AB39" s="357"/>
      <c r="AC39" s="357"/>
      <c r="AD39" s="357"/>
      <c r="AE39" s="357"/>
      <c r="AF39" s="357"/>
      <c r="AG39" s="357"/>
      <c r="AH39" s="357"/>
      <c r="AI39" s="357"/>
      <c r="AJ39" s="357"/>
      <c r="AK39" s="357"/>
      <c r="AL39" s="357"/>
      <c r="AM39" s="357"/>
      <c r="AN39" s="357"/>
      <c r="AO39" s="357"/>
      <c r="AP39" s="357"/>
      <c r="AQ39" s="357"/>
      <c r="AR39" s="357"/>
      <c r="AS39" s="357"/>
      <c r="AT39" s="357"/>
      <c r="AU39" s="357"/>
      <c r="AV39" s="357"/>
      <c r="AW39" s="357"/>
      <c r="AX39" s="357"/>
      <c r="AY39" s="357"/>
      <c r="AZ39" s="357"/>
      <c r="BA39" s="357"/>
      <c r="BB39" s="357"/>
      <c r="BC39" s="357"/>
      <c r="BD39" s="357"/>
      <c r="BE39" s="357"/>
      <c r="BF39" s="357"/>
      <c r="BG39" s="357"/>
      <c r="BH39" s="357"/>
      <c r="BI39" s="357"/>
      <c r="BJ39" s="357"/>
      <c r="BK39" s="357"/>
      <c r="BL39" s="357"/>
      <c r="BM39" s="357"/>
      <c r="BN39" s="357"/>
      <c r="BO39" s="357"/>
      <c r="BP39" s="357"/>
      <c r="BQ39" s="357"/>
      <c r="BR39" s="357"/>
      <c r="BS39" s="357"/>
      <c r="BT39" s="357"/>
      <c r="BU39" s="357"/>
      <c r="BV39" s="357"/>
    </row>
    <row r="40" spans="1:74" ht="16.350000000000001" customHeight="1" x14ac:dyDescent="0.25">
      <c r="A40" s="80" t="s">
        <v>439</v>
      </c>
      <c r="B40" s="18" t="str">
        <f>$C$12</f>
        <v>Ô tô thùng 12T</v>
      </c>
      <c r="C40" s="599" t="s">
        <v>988</v>
      </c>
      <c r="D40" s="599" t="s">
        <v>1371</v>
      </c>
      <c r="E40" s="599" t="s">
        <v>1397</v>
      </c>
      <c r="F40" s="786">
        <f t="shared" si="7"/>
        <v>3.3250000000000002E-2</v>
      </c>
      <c r="G40" s="18" t="str">
        <f t="shared" si="9"/>
        <v>gạch ốp lát các loại</v>
      </c>
      <c r="H40" s="812"/>
      <c r="I40" s="2"/>
      <c r="J40" s="80"/>
      <c r="K40" s="80"/>
      <c r="L40" s="279" t="s">
        <v>1364</v>
      </c>
      <c r="M40" s="80"/>
      <c r="N40" s="80"/>
      <c r="O40" s="334"/>
      <c r="P40" s="80"/>
      <c r="Q40" s="771"/>
      <c r="R40" s="334">
        <f>SUM(R41:R41)</f>
        <v>1510458.95</v>
      </c>
      <c r="S40" s="2"/>
      <c r="T40" s="357"/>
      <c r="U40" s="357"/>
      <c r="V40" s="357"/>
      <c r="W40" s="357"/>
      <c r="X40" s="357"/>
      <c r="Y40" s="357"/>
      <c r="Z40" s="357"/>
      <c r="AA40" s="357"/>
      <c r="AB40" s="357"/>
      <c r="AC40" s="357"/>
      <c r="AD40" s="357"/>
      <c r="AE40" s="357"/>
      <c r="AF40" s="357"/>
      <c r="AG40" s="357"/>
      <c r="AH40" s="357"/>
      <c r="AI40" s="357"/>
      <c r="AJ40" s="357"/>
      <c r="AK40" s="357"/>
      <c r="AL40" s="357"/>
      <c r="AM40" s="357"/>
      <c r="AN40" s="357"/>
      <c r="AO40" s="357"/>
      <c r="AP40" s="357"/>
      <c r="AQ40" s="357"/>
      <c r="AR40" s="357"/>
      <c r="AS40" s="357"/>
      <c r="AT40" s="357"/>
      <c r="AU40" s="357"/>
      <c r="AV40" s="357"/>
      <c r="AW40" s="357"/>
      <c r="AX40" s="357"/>
      <c r="AY40" s="357"/>
      <c r="AZ40" s="357"/>
      <c r="BA40" s="357"/>
      <c r="BB40" s="357"/>
      <c r="BC40" s="357"/>
      <c r="BD40" s="357"/>
      <c r="BE40" s="357"/>
      <c r="BF40" s="357"/>
      <c r="BG40" s="357"/>
      <c r="BH40" s="357"/>
      <c r="BI40" s="357"/>
      <c r="BJ40" s="357"/>
      <c r="BK40" s="357"/>
      <c r="BL40" s="357"/>
      <c r="BM40" s="357"/>
      <c r="BN40" s="357"/>
      <c r="BO40" s="357"/>
      <c r="BP40" s="357"/>
      <c r="BQ40" s="357"/>
      <c r="BR40" s="357"/>
      <c r="BS40" s="357"/>
      <c r="BT40" s="357"/>
      <c r="BU40" s="357"/>
      <c r="BV40" s="357"/>
    </row>
    <row r="41" spans="1:74" ht="16.350000000000001" customHeight="1" x14ac:dyDescent="0.25">
      <c r="A41" s="80" t="s">
        <v>847</v>
      </c>
      <c r="B41" s="18" t="str">
        <f>$C$13</f>
        <v>Ô tô thùng 20T</v>
      </c>
      <c r="C41" s="599" t="s">
        <v>624</v>
      </c>
      <c r="D41" s="599" t="s">
        <v>1436</v>
      </c>
      <c r="E41" s="599" t="s">
        <v>253</v>
      </c>
      <c r="F41" s="786">
        <f t="shared" si="7"/>
        <v>1.9E-2</v>
      </c>
      <c r="G41" s="18" t="str">
        <f t="shared" si="9"/>
        <v>gạch ốp lát các loại</v>
      </c>
      <c r="H41" s="812"/>
      <c r="I41" s="2"/>
      <c r="J41" s="907"/>
      <c r="K41" s="907" t="str">
        <f>F9</f>
        <v>D</v>
      </c>
      <c r="L41" s="836" t="s">
        <v>971</v>
      </c>
      <c r="M41" s="907" t="s">
        <v>1431</v>
      </c>
      <c r="N41" s="8">
        <v>77</v>
      </c>
      <c r="O41" s="260">
        <f>H9</f>
        <v>19045</v>
      </c>
      <c r="P41" s="907"/>
      <c r="Q41" s="708">
        <v>1.03</v>
      </c>
      <c r="R41" s="631">
        <f>N41*O41*Q41</f>
        <v>1510458.95</v>
      </c>
      <c r="S41" s="2"/>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c r="BA41" s="357"/>
      <c r="BB41" s="357"/>
      <c r="BC41" s="357"/>
      <c r="BD41" s="357"/>
      <c r="BE41" s="357"/>
      <c r="BF41" s="357"/>
      <c r="BG41" s="357"/>
      <c r="BH41" s="357"/>
      <c r="BI41" s="357"/>
      <c r="BJ41" s="357"/>
      <c r="BK41" s="357"/>
      <c r="BL41" s="357"/>
      <c r="BM41" s="357"/>
      <c r="BN41" s="357"/>
      <c r="BO41" s="357"/>
      <c r="BP41" s="357"/>
      <c r="BQ41" s="357"/>
      <c r="BR41" s="357"/>
      <c r="BS41" s="357"/>
      <c r="BT41" s="357"/>
      <c r="BU41" s="357"/>
      <c r="BV41" s="357"/>
    </row>
    <row r="42" spans="1:74" ht="16.350000000000001" customHeight="1" x14ac:dyDescent="0.25">
      <c r="A42" s="80" t="s">
        <v>91</v>
      </c>
      <c r="B42" s="18" t="str">
        <f>$C$11</f>
        <v>Ô tô thùng 7T</v>
      </c>
      <c r="C42" s="599" t="s">
        <v>1315</v>
      </c>
      <c r="D42" s="599" t="s">
        <v>1048</v>
      </c>
      <c r="E42" s="599" t="s">
        <v>1021</v>
      </c>
      <c r="F42" s="786">
        <f t="shared" si="7"/>
        <v>4.2749999999999996E-2</v>
      </c>
      <c r="G42" s="18" t="str">
        <f t="shared" ref="G42:G44" si="10">$H$23</f>
        <v>ngói các loại</v>
      </c>
      <c r="H42" s="812"/>
      <c r="I42" s="2"/>
      <c r="J42" s="688">
        <v>5</v>
      </c>
      <c r="K42" s="688" t="s">
        <v>424</v>
      </c>
      <c r="L42" s="688" t="s">
        <v>1113</v>
      </c>
      <c r="M42" s="688" t="s">
        <v>1272</v>
      </c>
      <c r="N42" s="688"/>
      <c r="O42" s="67">
        <v>427131000</v>
      </c>
      <c r="P42" s="688">
        <v>250</v>
      </c>
      <c r="Q42" s="519"/>
      <c r="R42" s="67">
        <f>R43+R47+R49</f>
        <v>1350950.9500000002</v>
      </c>
      <c r="S42" s="2"/>
      <c r="T42" s="357"/>
      <c r="U42" s="357"/>
      <c r="V42" s="357"/>
      <c r="W42" s="357"/>
      <c r="X42" s="357"/>
      <c r="Y42" s="357"/>
      <c r="Z42" s="357"/>
      <c r="AA42" s="357"/>
      <c r="AB42" s="357"/>
      <c r="AC42" s="357"/>
      <c r="AD42" s="357"/>
      <c r="AE42" s="357"/>
      <c r="AF42" s="357"/>
      <c r="AG42" s="357"/>
      <c r="AH42" s="357"/>
      <c r="AI42" s="357"/>
      <c r="AJ42" s="357"/>
      <c r="AK42" s="357"/>
      <c r="AL42" s="357"/>
      <c r="AM42" s="357"/>
      <c r="AN42" s="357"/>
      <c r="AO42" s="357"/>
      <c r="AP42" s="357"/>
      <c r="AQ42" s="357"/>
      <c r="AR42" s="357"/>
      <c r="AS42" s="357"/>
      <c r="AT42" s="357"/>
      <c r="AU42" s="357"/>
      <c r="AV42" s="357"/>
      <c r="AW42" s="357"/>
      <c r="AX42" s="357"/>
      <c r="AY42" s="357"/>
      <c r="AZ42" s="357"/>
      <c r="BA42" s="357"/>
      <c r="BB42" s="357"/>
      <c r="BC42" s="357"/>
      <c r="BD42" s="357"/>
      <c r="BE42" s="357"/>
      <c r="BF42" s="357"/>
      <c r="BG42" s="357"/>
      <c r="BH42" s="357"/>
      <c r="BI42" s="357"/>
      <c r="BJ42" s="357"/>
      <c r="BK42" s="357"/>
      <c r="BL42" s="357"/>
      <c r="BM42" s="357"/>
      <c r="BN42" s="357"/>
      <c r="BO42" s="357"/>
      <c r="BP42" s="357"/>
      <c r="BQ42" s="357"/>
      <c r="BR42" s="357"/>
      <c r="BS42" s="357"/>
      <c r="BT42" s="357"/>
      <c r="BU42" s="357"/>
      <c r="BV42" s="357"/>
    </row>
    <row r="43" spans="1:74" ht="16.350000000000001" customHeight="1" x14ac:dyDescent="0.25">
      <c r="A43" s="80" t="s">
        <v>67</v>
      </c>
      <c r="B43" s="18" t="str">
        <f>$C$12</f>
        <v>Ô tô thùng 12T</v>
      </c>
      <c r="C43" s="599" t="s">
        <v>669</v>
      </c>
      <c r="D43" s="599" t="s">
        <v>624</v>
      </c>
      <c r="E43" s="599" t="s">
        <v>251</v>
      </c>
      <c r="F43" s="786">
        <f t="shared" si="7"/>
        <v>2.9449999999999997E-2</v>
      </c>
      <c r="G43" s="18" t="str">
        <f t="shared" si="10"/>
        <v>ngói các loại</v>
      </c>
      <c r="H43" s="812"/>
      <c r="I43" s="2"/>
      <c r="J43" s="768"/>
      <c r="K43" s="768"/>
      <c r="L43" s="46" t="s">
        <v>229</v>
      </c>
      <c r="M43" s="768"/>
      <c r="N43" s="768"/>
      <c r="O43" s="90"/>
      <c r="P43" s="768"/>
      <c r="Q43" s="547"/>
      <c r="R43" s="90">
        <f>SUM(R44:R46)</f>
        <v>469844.10000000003</v>
      </c>
      <c r="S43" s="2"/>
      <c r="T43" s="357"/>
      <c r="U43" s="357"/>
      <c r="V43" s="357"/>
      <c r="W43" s="357"/>
      <c r="X43" s="357"/>
      <c r="Y43" s="357"/>
      <c r="Z43" s="357"/>
      <c r="AA43" s="357"/>
      <c r="AB43" s="357"/>
      <c r="AC43" s="357"/>
      <c r="AD43" s="357"/>
      <c r="AE43" s="357"/>
      <c r="AF43" s="357"/>
      <c r="AG43" s="357"/>
      <c r="AH43" s="357"/>
      <c r="AI43" s="357"/>
      <c r="AJ43" s="357"/>
      <c r="AK43" s="357"/>
      <c r="AL43" s="357"/>
      <c r="AM43" s="357"/>
      <c r="AN43" s="357"/>
      <c r="AO43" s="357"/>
      <c r="AP43" s="357"/>
      <c r="AQ43" s="357"/>
      <c r="AR43" s="357"/>
      <c r="AS43" s="357"/>
      <c r="AT43" s="357"/>
      <c r="AU43" s="357"/>
      <c r="AV43" s="357"/>
      <c r="AW43" s="357"/>
      <c r="AX43" s="357"/>
      <c r="AY43" s="357"/>
      <c r="AZ43" s="357"/>
      <c r="BA43" s="357"/>
      <c r="BB43" s="357"/>
      <c r="BC43" s="357"/>
      <c r="BD43" s="357"/>
      <c r="BE43" s="357"/>
      <c r="BF43" s="357"/>
      <c r="BG43" s="357"/>
      <c r="BH43" s="357"/>
      <c r="BI43" s="357"/>
      <c r="BJ43" s="357"/>
      <c r="BK43" s="357"/>
      <c r="BL43" s="357"/>
      <c r="BM43" s="357"/>
      <c r="BN43" s="357"/>
      <c r="BO43" s="357"/>
      <c r="BP43" s="357"/>
      <c r="BQ43" s="357"/>
      <c r="BR43" s="357"/>
      <c r="BS43" s="357"/>
      <c r="BT43" s="357"/>
      <c r="BU43" s="357"/>
      <c r="BV43" s="357"/>
    </row>
    <row r="44" spans="1:74" ht="16.350000000000001" customHeight="1" x14ac:dyDescent="0.25">
      <c r="A44" s="80" t="s">
        <v>433</v>
      </c>
      <c r="B44" s="18" t="str">
        <f>$C$13</f>
        <v>Ô tô thùng 20T</v>
      </c>
      <c r="C44" s="599" t="s">
        <v>1059</v>
      </c>
      <c r="D44" s="599" t="s">
        <v>1400</v>
      </c>
      <c r="E44" s="599" t="s">
        <v>1088</v>
      </c>
      <c r="F44" s="786">
        <f t="shared" si="7"/>
        <v>1.6150000000000001E-2</v>
      </c>
      <c r="G44" s="18" t="str">
        <f t="shared" si="10"/>
        <v>ngói các loại</v>
      </c>
      <c r="H44" s="812"/>
      <c r="I44" s="2"/>
      <c r="J44" s="80"/>
      <c r="K44" s="80"/>
      <c r="L44" s="18" t="s">
        <v>84</v>
      </c>
      <c r="M44" s="80" t="s">
        <v>1086</v>
      </c>
      <c r="N44" s="652">
        <v>17</v>
      </c>
      <c r="O44" s="334"/>
      <c r="P44" s="80"/>
      <c r="Q44" s="408">
        <v>0.9</v>
      </c>
      <c r="R44" s="334">
        <f>O42*N44*Q44/P42/100</f>
        <v>261404.17199999999</v>
      </c>
      <c r="S44" s="2"/>
      <c r="T44" s="357"/>
      <c r="U44" s="357"/>
      <c r="V44" s="357"/>
      <c r="W44" s="357"/>
      <c r="X44" s="357"/>
      <c r="Y44" s="357"/>
      <c r="Z44" s="357"/>
      <c r="AA44" s="357"/>
      <c r="AB44" s="357"/>
      <c r="AC44" s="357"/>
      <c r="AD44" s="357"/>
      <c r="AE44" s="357"/>
      <c r="AF44" s="357"/>
      <c r="AG44" s="357"/>
      <c r="AH44" s="357"/>
      <c r="AI44" s="357"/>
      <c r="AJ44" s="357"/>
      <c r="AK44" s="357"/>
      <c r="AL44" s="357"/>
      <c r="AM44" s="357"/>
      <c r="AN44" s="357"/>
      <c r="AO44" s="357"/>
      <c r="AP44" s="357"/>
      <c r="AQ44" s="357"/>
      <c r="AR44" s="357"/>
      <c r="AS44" s="357"/>
      <c r="AT44" s="357"/>
      <c r="AU44" s="357"/>
      <c r="AV44" s="357"/>
      <c r="AW44" s="357"/>
      <c r="AX44" s="357"/>
      <c r="AY44" s="357"/>
      <c r="AZ44" s="357"/>
      <c r="BA44" s="357"/>
      <c r="BB44" s="357"/>
      <c r="BC44" s="357"/>
      <c r="BD44" s="357"/>
      <c r="BE44" s="357"/>
      <c r="BF44" s="357"/>
      <c r="BG44" s="357"/>
      <c r="BH44" s="357"/>
      <c r="BI44" s="357"/>
      <c r="BJ44" s="357"/>
      <c r="BK44" s="357"/>
      <c r="BL44" s="357"/>
      <c r="BM44" s="357"/>
      <c r="BN44" s="357"/>
      <c r="BO44" s="357"/>
      <c r="BP44" s="357"/>
      <c r="BQ44" s="357"/>
      <c r="BR44" s="357"/>
      <c r="BS44" s="357"/>
      <c r="BT44" s="357"/>
      <c r="BU44" s="357"/>
      <c r="BV44" s="357"/>
    </row>
    <row r="45" spans="1:74" ht="16.350000000000001" customHeight="1" x14ac:dyDescent="0.25">
      <c r="A45" s="80" t="s">
        <v>1196</v>
      </c>
      <c r="B45" s="18" t="str">
        <f>$C$11</f>
        <v>Ô tô thùng 7T</v>
      </c>
      <c r="C45" s="599" t="s">
        <v>624</v>
      </c>
      <c r="D45" s="599" t="s">
        <v>251</v>
      </c>
      <c r="E45" s="599" t="s">
        <v>629</v>
      </c>
      <c r="F45" s="786">
        <f t="shared" si="7"/>
        <v>1.9949999999999999E-2</v>
      </c>
      <c r="G45" s="18" t="str">
        <f t="shared" ref="G45:G47" si="11">$H$24</f>
        <v>xi măng bao</v>
      </c>
      <c r="H45" s="812"/>
      <c r="I45" s="2"/>
      <c r="J45" s="80"/>
      <c r="K45" s="80"/>
      <c r="L45" s="18" t="s">
        <v>168</v>
      </c>
      <c r="M45" s="80" t="s">
        <v>1086</v>
      </c>
      <c r="N45" s="652">
        <v>6.2</v>
      </c>
      <c r="O45" s="334"/>
      <c r="P45" s="80"/>
      <c r="Q45" s="771"/>
      <c r="R45" s="334">
        <f>O42*N45/P42/100</f>
        <v>105928.48800000001</v>
      </c>
      <c r="S45" s="2"/>
      <c r="T45" s="357"/>
      <c r="U45" s="357"/>
      <c r="V45" s="357"/>
      <c r="W45" s="357"/>
      <c r="X45" s="357"/>
      <c r="Y45" s="357"/>
      <c r="Z45" s="357"/>
      <c r="AA45" s="357"/>
      <c r="AB45" s="357"/>
      <c r="AC45" s="357"/>
      <c r="AD45" s="357"/>
      <c r="AE45" s="357"/>
      <c r="AF45" s="357"/>
      <c r="AG45" s="357"/>
      <c r="AH45" s="357"/>
      <c r="AI45" s="357"/>
      <c r="AJ45" s="357"/>
      <c r="AK45" s="357"/>
      <c r="AL45" s="357"/>
      <c r="AM45" s="357"/>
      <c r="AN45" s="357"/>
      <c r="AO45" s="357"/>
      <c r="AP45" s="357"/>
      <c r="AQ45" s="357"/>
      <c r="AR45" s="357"/>
      <c r="AS45" s="357"/>
      <c r="AT45" s="357"/>
      <c r="AU45" s="357"/>
      <c r="AV45" s="357"/>
      <c r="AW45" s="357"/>
      <c r="AX45" s="357"/>
      <c r="AY45" s="357"/>
      <c r="AZ45" s="357"/>
      <c r="BA45" s="357"/>
      <c r="BB45" s="357"/>
      <c r="BC45" s="357"/>
      <c r="BD45" s="357"/>
      <c r="BE45" s="357"/>
      <c r="BF45" s="357"/>
      <c r="BG45" s="357"/>
      <c r="BH45" s="357"/>
      <c r="BI45" s="357"/>
      <c r="BJ45" s="357"/>
      <c r="BK45" s="357"/>
      <c r="BL45" s="357"/>
      <c r="BM45" s="357"/>
      <c r="BN45" s="357"/>
      <c r="BO45" s="357"/>
      <c r="BP45" s="357"/>
      <c r="BQ45" s="357"/>
      <c r="BR45" s="357"/>
      <c r="BS45" s="357"/>
      <c r="BT45" s="357"/>
      <c r="BU45" s="357"/>
      <c r="BV45" s="357"/>
    </row>
    <row r="46" spans="1:74" ht="16.350000000000001" customHeight="1" x14ac:dyDescent="0.25">
      <c r="A46" s="80" t="s">
        <v>1185</v>
      </c>
      <c r="B46" s="18" t="str">
        <f>$C$12</f>
        <v>Ô tô thùng 12T</v>
      </c>
      <c r="C46" s="599" t="s">
        <v>656</v>
      </c>
      <c r="D46" s="599" t="s">
        <v>333</v>
      </c>
      <c r="E46" s="599" t="s">
        <v>1403</v>
      </c>
      <c r="F46" s="786">
        <f t="shared" si="7"/>
        <v>1.2349999999999998E-2</v>
      </c>
      <c r="G46" s="18" t="str">
        <f t="shared" si="11"/>
        <v>xi măng bao</v>
      </c>
      <c r="H46" s="812"/>
      <c r="I46" s="2"/>
      <c r="J46" s="80"/>
      <c r="K46" s="80"/>
      <c r="L46" s="18" t="s">
        <v>432</v>
      </c>
      <c r="M46" s="80" t="s">
        <v>1086</v>
      </c>
      <c r="N46" s="652">
        <v>6</v>
      </c>
      <c r="O46" s="334"/>
      <c r="P46" s="80"/>
      <c r="Q46" s="771"/>
      <c r="R46" s="334">
        <f>O42*N46/P42/100</f>
        <v>102511.44</v>
      </c>
      <c r="S46" s="2"/>
      <c r="T46" s="357"/>
      <c r="U46" s="357"/>
      <c r="V46" s="357"/>
      <c r="W46" s="357"/>
      <c r="X46" s="357"/>
      <c r="Y46" s="357"/>
      <c r="Z46" s="357"/>
      <c r="AA46" s="357"/>
      <c r="AB46" s="357"/>
      <c r="AC46" s="357"/>
      <c r="AD46" s="357"/>
      <c r="AE46" s="357"/>
      <c r="AF46" s="357"/>
      <c r="AG46" s="357"/>
      <c r="AH46" s="357"/>
      <c r="AI46" s="357"/>
      <c r="AJ46" s="357"/>
      <c r="AK46" s="357"/>
      <c r="AL46" s="357"/>
      <c r="AM46" s="357"/>
      <c r="AN46" s="357"/>
      <c r="AO46" s="357"/>
      <c r="AP46" s="357"/>
      <c r="AQ46" s="357"/>
      <c r="AR46" s="357"/>
      <c r="AS46" s="357"/>
      <c r="AT46" s="357"/>
      <c r="AU46" s="357"/>
      <c r="AV46" s="357"/>
      <c r="AW46" s="357"/>
      <c r="AX46" s="357"/>
      <c r="AY46" s="357"/>
      <c r="AZ46" s="357"/>
      <c r="BA46" s="357"/>
      <c r="BB46" s="357"/>
      <c r="BC46" s="357"/>
      <c r="BD46" s="357"/>
      <c r="BE46" s="357"/>
      <c r="BF46" s="357"/>
      <c r="BG46" s="357"/>
      <c r="BH46" s="357"/>
      <c r="BI46" s="357"/>
      <c r="BJ46" s="357"/>
      <c r="BK46" s="357"/>
      <c r="BL46" s="357"/>
      <c r="BM46" s="357"/>
      <c r="BN46" s="357"/>
      <c r="BO46" s="357"/>
      <c r="BP46" s="357"/>
      <c r="BQ46" s="357"/>
      <c r="BR46" s="357"/>
      <c r="BS46" s="357"/>
      <c r="BT46" s="357"/>
      <c r="BU46" s="357"/>
      <c r="BV46" s="357"/>
    </row>
    <row r="47" spans="1:74" ht="16.350000000000001" customHeight="1" x14ac:dyDescent="0.25">
      <c r="A47" s="80" t="s">
        <v>65</v>
      </c>
      <c r="B47" s="18" t="str">
        <f>$C$13</f>
        <v>Ô tô thùng 20T</v>
      </c>
      <c r="C47" s="599" t="s">
        <v>660</v>
      </c>
      <c r="D47" s="599" t="s">
        <v>1063</v>
      </c>
      <c r="E47" s="599" t="s">
        <v>337</v>
      </c>
      <c r="F47" s="786">
        <f t="shared" si="7"/>
        <v>7.6E-3</v>
      </c>
      <c r="G47" s="18" t="str">
        <f t="shared" si="11"/>
        <v>xi măng bao</v>
      </c>
      <c r="H47" s="812"/>
      <c r="I47" s="2"/>
      <c r="J47" s="80"/>
      <c r="K47" s="80"/>
      <c r="L47" s="279" t="s">
        <v>1404</v>
      </c>
      <c r="M47" s="80"/>
      <c r="N47" s="80"/>
      <c r="O47" s="334"/>
      <c r="P47" s="80"/>
      <c r="Q47" s="771"/>
      <c r="R47" s="334">
        <f>SUM(R48:R48)</f>
        <v>273000</v>
      </c>
      <c r="S47" s="2"/>
      <c r="T47" s="357"/>
      <c r="U47" s="357"/>
      <c r="V47" s="357"/>
      <c r="W47" s="357"/>
      <c r="X47" s="357"/>
      <c r="Y47" s="357"/>
      <c r="Z47" s="357"/>
      <c r="AA47" s="357"/>
      <c r="AB47" s="357"/>
      <c r="AC47" s="357"/>
      <c r="AD47" s="357"/>
      <c r="AE47" s="357"/>
      <c r="AF47" s="357"/>
      <c r="AG47" s="357"/>
      <c r="AH47" s="357"/>
      <c r="AI47" s="357"/>
      <c r="AJ47" s="357"/>
      <c r="AK47" s="357"/>
      <c r="AL47" s="357"/>
      <c r="AM47" s="357"/>
      <c r="AN47" s="357"/>
      <c r="AO47" s="357"/>
      <c r="AP47" s="357"/>
      <c r="AQ47" s="357"/>
      <c r="AR47" s="357"/>
      <c r="AS47" s="357"/>
      <c r="AT47" s="357"/>
      <c r="AU47" s="357"/>
      <c r="AV47" s="357"/>
      <c r="AW47" s="357"/>
      <c r="AX47" s="357"/>
      <c r="AY47" s="357"/>
      <c r="AZ47" s="357"/>
      <c r="BA47" s="357"/>
      <c r="BB47" s="357"/>
      <c r="BC47" s="357"/>
      <c r="BD47" s="357"/>
      <c r="BE47" s="357"/>
      <c r="BF47" s="357"/>
      <c r="BG47" s="357"/>
      <c r="BH47" s="357"/>
      <c r="BI47" s="357"/>
      <c r="BJ47" s="357"/>
      <c r="BK47" s="357"/>
      <c r="BL47" s="357"/>
      <c r="BM47" s="357"/>
      <c r="BN47" s="357"/>
      <c r="BO47" s="357"/>
      <c r="BP47" s="357"/>
      <c r="BQ47" s="357"/>
      <c r="BR47" s="357"/>
      <c r="BS47" s="357"/>
      <c r="BT47" s="357"/>
      <c r="BU47" s="357"/>
      <c r="BV47" s="357"/>
    </row>
    <row r="48" spans="1:74" ht="16.350000000000001" customHeight="1" x14ac:dyDescent="0.25">
      <c r="A48" s="80" t="s">
        <v>791</v>
      </c>
      <c r="B48" s="18" t="str">
        <f>$C$11</f>
        <v>Ô tô thùng 7T</v>
      </c>
      <c r="C48" s="599" t="s">
        <v>1062</v>
      </c>
      <c r="D48" s="599" t="s">
        <v>660</v>
      </c>
      <c r="E48" s="599" t="s">
        <v>1063</v>
      </c>
      <c r="F48" s="786">
        <f t="shared" si="7"/>
        <v>1.0449999999999999E-2</v>
      </c>
      <c r="G48" s="18" t="str">
        <f t="shared" ref="G48:G50" si="12">$H$25</f>
        <v>thép các loại</v>
      </c>
      <c r="H48" s="812"/>
      <c r="I48" s="2"/>
      <c r="J48" s="80"/>
      <c r="K48" s="80" t="str">
        <f>F7</f>
        <v>NLX424</v>
      </c>
      <c r="L48" s="18" t="s">
        <v>121</v>
      </c>
      <c r="M48" s="80" t="s">
        <v>239</v>
      </c>
      <c r="N48" s="652">
        <v>1</v>
      </c>
      <c r="O48" s="345">
        <f>H7</f>
        <v>273000</v>
      </c>
      <c r="P48" s="80"/>
      <c r="Q48" s="771"/>
      <c r="R48" s="334">
        <f>N48*O48</f>
        <v>273000</v>
      </c>
      <c r="S48" s="2"/>
      <c r="T48" s="357"/>
      <c r="U48" s="357"/>
      <c r="V48" s="357"/>
      <c r="W48" s="357"/>
      <c r="X48" s="357"/>
      <c r="Y48" s="357"/>
      <c r="Z48" s="357"/>
      <c r="AA48" s="357"/>
      <c r="AB48" s="357"/>
      <c r="AC48" s="357"/>
      <c r="AD48" s="357"/>
      <c r="AE48" s="357"/>
      <c r="AF48" s="357"/>
      <c r="AG48" s="357"/>
      <c r="AH48" s="357"/>
      <c r="AI48" s="357"/>
      <c r="AJ48" s="357"/>
      <c r="AK48" s="357"/>
      <c r="AL48" s="357"/>
      <c r="AM48" s="357"/>
      <c r="AN48" s="357"/>
      <c r="AO48" s="357"/>
      <c r="AP48" s="357"/>
      <c r="AQ48" s="357"/>
      <c r="AR48" s="357"/>
      <c r="AS48" s="357"/>
      <c r="AT48" s="357"/>
      <c r="AU48" s="357"/>
      <c r="AV48" s="357"/>
      <c r="AW48" s="357"/>
      <c r="AX48" s="357"/>
      <c r="AY48" s="357"/>
      <c r="AZ48" s="357"/>
      <c r="BA48" s="357"/>
      <c r="BB48" s="357"/>
      <c r="BC48" s="357"/>
      <c r="BD48" s="357"/>
      <c r="BE48" s="357"/>
      <c r="BF48" s="357"/>
      <c r="BG48" s="357"/>
      <c r="BH48" s="357"/>
      <c r="BI48" s="357"/>
      <c r="BJ48" s="357"/>
      <c r="BK48" s="357"/>
      <c r="BL48" s="357"/>
      <c r="BM48" s="357"/>
      <c r="BN48" s="357"/>
      <c r="BO48" s="357"/>
      <c r="BP48" s="357"/>
      <c r="BQ48" s="357"/>
      <c r="BR48" s="357"/>
      <c r="BS48" s="357"/>
      <c r="BT48" s="357"/>
      <c r="BU48" s="357"/>
      <c r="BV48" s="357"/>
    </row>
    <row r="49" spans="1:74" ht="16.350000000000001" customHeight="1" x14ac:dyDescent="0.25">
      <c r="A49" s="80" t="s">
        <v>1195</v>
      </c>
      <c r="B49" s="18" t="str">
        <f>$C$12</f>
        <v>Ô tô thùng 12T</v>
      </c>
      <c r="C49" s="599" t="s">
        <v>1403</v>
      </c>
      <c r="D49" s="599" t="s">
        <v>633</v>
      </c>
      <c r="E49" s="599" t="s">
        <v>1089</v>
      </c>
      <c r="F49" s="786">
        <f t="shared" si="7"/>
        <v>5.7000000000000002E-3</v>
      </c>
      <c r="G49" s="18" t="str">
        <f t="shared" si="12"/>
        <v>thép các loại</v>
      </c>
      <c r="H49" s="742"/>
      <c r="I49" s="2"/>
      <c r="J49" s="80"/>
      <c r="K49" s="80"/>
      <c r="L49" s="279" t="s">
        <v>1364</v>
      </c>
      <c r="M49" s="80"/>
      <c r="N49" s="80"/>
      <c r="O49" s="334"/>
      <c r="P49" s="80"/>
      <c r="Q49" s="771"/>
      <c r="R49" s="334">
        <f>SUM(R50:R50)</f>
        <v>608106.85</v>
      </c>
      <c r="S49" s="2"/>
      <c r="T49" s="357"/>
      <c r="U49" s="357"/>
      <c r="V49" s="357"/>
      <c r="W49" s="357"/>
      <c r="X49" s="357"/>
      <c r="Y49" s="357"/>
      <c r="Z49" s="357"/>
      <c r="AA49" s="357"/>
      <c r="AB49" s="357"/>
      <c r="AC49" s="357"/>
      <c r="AD49" s="357"/>
      <c r="AE49" s="357"/>
      <c r="AF49" s="357"/>
      <c r="AG49" s="357"/>
      <c r="AH49" s="357"/>
      <c r="AI49" s="357"/>
      <c r="AJ49" s="357"/>
      <c r="AK49" s="357"/>
      <c r="AL49" s="357"/>
      <c r="AM49" s="357"/>
      <c r="AN49" s="357"/>
      <c r="AO49" s="357"/>
      <c r="AP49" s="357"/>
      <c r="AQ49" s="357"/>
      <c r="AR49" s="357"/>
      <c r="AS49" s="357"/>
      <c r="AT49" s="357"/>
      <c r="AU49" s="357"/>
      <c r="AV49" s="357"/>
      <c r="AW49" s="357"/>
      <c r="AX49" s="357"/>
      <c r="AY49" s="357"/>
      <c r="AZ49" s="357"/>
      <c r="BA49" s="357"/>
      <c r="BB49" s="357"/>
      <c r="BC49" s="357"/>
      <c r="BD49" s="357"/>
      <c r="BE49" s="357"/>
      <c r="BF49" s="357"/>
      <c r="BG49" s="357"/>
      <c r="BH49" s="357"/>
      <c r="BI49" s="357"/>
      <c r="BJ49" s="357"/>
      <c r="BK49" s="357"/>
      <c r="BL49" s="357"/>
      <c r="BM49" s="357"/>
      <c r="BN49" s="357"/>
      <c r="BO49" s="357"/>
      <c r="BP49" s="357"/>
      <c r="BQ49" s="357"/>
      <c r="BR49" s="357"/>
      <c r="BS49" s="357"/>
      <c r="BT49" s="357"/>
      <c r="BU49" s="357"/>
      <c r="BV49" s="357"/>
    </row>
    <row r="50" spans="1:74" ht="16.350000000000001" customHeight="1" x14ac:dyDescent="0.25">
      <c r="A50" s="80" t="s">
        <v>1184</v>
      </c>
      <c r="B50" s="18" t="str">
        <f>$C$13</f>
        <v>Ô tô thùng 20T</v>
      </c>
      <c r="C50" s="599" t="s">
        <v>1440</v>
      </c>
      <c r="D50" s="599" t="s">
        <v>1089</v>
      </c>
      <c r="E50" s="599" t="s">
        <v>303</v>
      </c>
      <c r="F50" s="786">
        <f t="shared" si="7"/>
        <v>2.8500000000000001E-3</v>
      </c>
      <c r="G50" s="18" t="str">
        <f t="shared" si="12"/>
        <v>thép các loại</v>
      </c>
      <c r="H50" s="742"/>
      <c r="I50" s="2"/>
      <c r="J50" s="80"/>
      <c r="K50" s="80" t="str">
        <f>F9</f>
        <v>D</v>
      </c>
      <c r="L50" s="18" t="s">
        <v>971</v>
      </c>
      <c r="M50" s="80" t="s">
        <v>1431</v>
      </c>
      <c r="N50" s="652">
        <v>31</v>
      </c>
      <c r="O50" s="881">
        <f>H9</f>
        <v>19045</v>
      </c>
      <c r="P50" s="80"/>
      <c r="Q50" s="408">
        <v>1.03</v>
      </c>
      <c r="R50" s="334">
        <f>N50*O50*Q50</f>
        <v>608106.85</v>
      </c>
      <c r="S50" s="2"/>
      <c r="T50" s="357"/>
      <c r="U50" s="357"/>
      <c r="V50" s="357"/>
      <c r="W50" s="357"/>
      <c r="X50" s="357"/>
      <c r="Y50" s="357"/>
      <c r="Z50" s="357"/>
      <c r="AA50" s="357"/>
      <c r="AB50" s="357"/>
      <c r="AC50" s="357"/>
      <c r="AD50" s="357"/>
      <c r="AE50" s="357"/>
      <c r="AF50" s="357"/>
      <c r="AG50" s="357"/>
      <c r="AH50" s="357"/>
      <c r="AI50" s="357"/>
      <c r="AJ50" s="357"/>
      <c r="AK50" s="357"/>
      <c r="AL50" s="357"/>
      <c r="AM50" s="357"/>
      <c r="AN50" s="357"/>
      <c r="AO50" s="357"/>
      <c r="AP50" s="357"/>
      <c r="AQ50" s="357"/>
      <c r="AR50" s="357"/>
      <c r="AS50" s="357"/>
      <c r="AT50" s="357"/>
      <c r="AU50" s="357"/>
      <c r="AV50" s="357"/>
      <c r="AW50" s="357"/>
      <c r="AX50" s="357"/>
      <c r="AY50" s="357"/>
      <c r="AZ50" s="357"/>
      <c r="BA50" s="357"/>
      <c r="BB50" s="357"/>
      <c r="BC50" s="357"/>
      <c r="BD50" s="357"/>
      <c r="BE50" s="357"/>
      <c r="BF50" s="357"/>
      <c r="BG50" s="357"/>
      <c r="BH50" s="357"/>
      <c r="BI50" s="357"/>
      <c r="BJ50" s="357"/>
      <c r="BK50" s="357"/>
      <c r="BL50" s="357"/>
      <c r="BM50" s="357"/>
      <c r="BN50" s="357"/>
      <c r="BO50" s="357"/>
      <c r="BP50" s="357"/>
      <c r="BQ50" s="357"/>
      <c r="BR50" s="357"/>
      <c r="BS50" s="357"/>
      <c r="BT50" s="357"/>
      <c r="BU50" s="357"/>
      <c r="BV50" s="357"/>
    </row>
    <row r="51" spans="1:74" ht="16.350000000000001" customHeight="1" x14ac:dyDescent="0.25">
      <c r="A51" s="80" t="s">
        <v>401</v>
      </c>
      <c r="B51" s="18" t="str">
        <f>$C$11</f>
        <v>Ô tô thùng 7T</v>
      </c>
      <c r="C51" s="599" t="s">
        <v>251</v>
      </c>
      <c r="D51" s="599" t="s">
        <v>1031</v>
      </c>
      <c r="E51" s="599" t="s">
        <v>682</v>
      </c>
      <c r="F51" s="786">
        <f t="shared" si="7"/>
        <v>1.4249999999999999E-2</v>
      </c>
      <c r="G51" s="18" t="str">
        <f t="shared" ref="G51:G53" si="13">$H$26</f>
        <v>nhựa đường</v>
      </c>
      <c r="H51" s="742"/>
      <c r="I51" s="2"/>
      <c r="J51" s="688">
        <v>6</v>
      </c>
      <c r="K51" s="688" t="s">
        <v>96</v>
      </c>
      <c r="L51" s="688" t="s">
        <v>240</v>
      </c>
      <c r="M51" s="688" t="s">
        <v>1272</v>
      </c>
      <c r="N51" s="688"/>
      <c r="O51" s="67">
        <v>606044000</v>
      </c>
      <c r="P51" s="688">
        <v>260</v>
      </c>
      <c r="Q51" s="519"/>
      <c r="R51" s="67">
        <f>R52+R56+R58</f>
        <v>1748197.9807692308</v>
      </c>
      <c r="S51" s="2"/>
      <c r="T51" s="357"/>
      <c r="U51" s="357"/>
      <c r="V51" s="357"/>
      <c r="W51" s="357"/>
      <c r="X51" s="357"/>
      <c r="Y51" s="357"/>
      <c r="Z51" s="357"/>
      <c r="AA51" s="357"/>
      <c r="AB51" s="357"/>
      <c r="AC51" s="357"/>
      <c r="AD51" s="357"/>
      <c r="AE51" s="357"/>
      <c r="AF51" s="357"/>
      <c r="AG51" s="357"/>
      <c r="AH51" s="357"/>
      <c r="AI51" s="357"/>
      <c r="AJ51" s="357"/>
      <c r="AK51" s="357"/>
      <c r="AL51" s="357"/>
      <c r="AM51" s="357"/>
      <c r="AN51" s="357"/>
      <c r="AO51" s="357"/>
      <c r="AP51" s="357"/>
      <c r="AQ51" s="357"/>
      <c r="AR51" s="357"/>
      <c r="AS51" s="357"/>
      <c r="AT51" s="357"/>
      <c r="AU51" s="357"/>
      <c r="AV51" s="357"/>
      <c r="AW51" s="357"/>
      <c r="AX51" s="357"/>
      <c r="AY51" s="357"/>
      <c r="AZ51" s="357"/>
      <c r="BA51" s="357"/>
      <c r="BB51" s="357"/>
      <c r="BC51" s="357"/>
      <c r="BD51" s="357"/>
      <c r="BE51" s="357"/>
      <c r="BF51" s="357"/>
      <c r="BG51" s="357"/>
      <c r="BH51" s="357"/>
      <c r="BI51" s="357"/>
      <c r="BJ51" s="357"/>
      <c r="BK51" s="357"/>
      <c r="BL51" s="357"/>
      <c r="BM51" s="357"/>
      <c r="BN51" s="357"/>
      <c r="BO51" s="357"/>
      <c r="BP51" s="357"/>
      <c r="BQ51" s="357"/>
      <c r="BR51" s="357"/>
      <c r="BS51" s="357"/>
      <c r="BT51" s="357"/>
      <c r="BU51" s="357"/>
      <c r="BV51" s="357"/>
    </row>
    <row r="52" spans="1:74" ht="16.350000000000001" customHeight="1" x14ac:dyDescent="0.25">
      <c r="A52" s="80" t="s">
        <v>788</v>
      </c>
      <c r="B52" s="18" t="str">
        <f>$C$12</f>
        <v>Ô tô thùng 12T</v>
      </c>
      <c r="C52" s="599" t="s">
        <v>333</v>
      </c>
      <c r="D52" s="599" t="s">
        <v>300</v>
      </c>
      <c r="E52" s="599" t="s">
        <v>1032</v>
      </c>
      <c r="F52" s="786">
        <f t="shared" si="7"/>
        <v>1.14E-2</v>
      </c>
      <c r="G52" s="18" t="str">
        <f t="shared" si="13"/>
        <v>nhựa đường</v>
      </c>
      <c r="H52" s="742"/>
      <c r="I52" s="2"/>
      <c r="J52" s="768"/>
      <c r="K52" s="768"/>
      <c r="L52" s="279" t="s">
        <v>229</v>
      </c>
      <c r="M52" s="768"/>
      <c r="N52" s="768"/>
      <c r="O52" s="90"/>
      <c r="P52" s="768"/>
      <c r="Q52" s="547"/>
      <c r="R52" s="90">
        <f>SUM(R53:R55)</f>
        <v>620029.63076923077</v>
      </c>
      <c r="S52" s="2"/>
      <c r="T52" s="357"/>
      <c r="U52" s="357"/>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c r="AS52" s="357"/>
      <c r="AT52" s="357"/>
      <c r="AU52" s="357"/>
      <c r="AV52" s="357"/>
      <c r="AW52" s="357"/>
      <c r="AX52" s="357"/>
      <c r="AY52" s="357"/>
      <c r="AZ52" s="357"/>
      <c r="BA52" s="357"/>
      <c r="BB52" s="357"/>
      <c r="BC52" s="357"/>
      <c r="BD52" s="357"/>
      <c r="BE52" s="357"/>
      <c r="BF52" s="357"/>
      <c r="BG52" s="357"/>
      <c r="BH52" s="357"/>
      <c r="BI52" s="357"/>
      <c r="BJ52" s="357"/>
      <c r="BK52" s="357"/>
      <c r="BL52" s="357"/>
      <c r="BM52" s="357"/>
      <c r="BN52" s="357"/>
      <c r="BO52" s="357"/>
      <c r="BP52" s="357"/>
      <c r="BQ52" s="357"/>
      <c r="BR52" s="357"/>
      <c r="BS52" s="357"/>
      <c r="BT52" s="357"/>
      <c r="BU52" s="357"/>
      <c r="BV52" s="357"/>
    </row>
    <row r="53" spans="1:74" ht="16.350000000000001" customHeight="1" x14ac:dyDescent="0.25">
      <c r="A53" s="80" t="s">
        <v>1194</v>
      </c>
      <c r="B53" s="18" t="str">
        <f>$C$13</f>
        <v>Ô tô thùng 20T</v>
      </c>
      <c r="C53" s="599" t="s">
        <v>1063</v>
      </c>
      <c r="D53" s="599" t="s">
        <v>316</v>
      </c>
      <c r="E53" s="599" t="s">
        <v>662</v>
      </c>
      <c r="F53" s="786">
        <f t="shared" si="7"/>
        <v>4.7499999999999999E-3</v>
      </c>
      <c r="G53" s="18" t="str">
        <f t="shared" si="13"/>
        <v>nhựa đường</v>
      </c>
      <c r="H53" s="742"/>
      <c r="I53" s="2"/>
      <c r="J53" s="80"/>
      <c r="K53" s="80"/>
      <c r="L53" s="18" t="s">
        <v>84</v>
      </c>
      <c r="M53" s="80" t="s">
        <v>1086</v>
      </c>
      <c r="N53" s="652">
        <v>16</v>
      </c>
      <c r="O53" s="334"/>
      <c r="P53" s="80"/>
      <c r="Q53" s="408">
        <v>0.9</v>
      </c>
      <c r="R53" s="334">
        <f>O51*N53*Q53/P51/100</f>
        <v>335655.13846153847</v>
      </c>
      <c r="S53" s="2"/>
      <c r="T53" s="357"/>
      <c r="U53" s="357"/>
      <c r="V53" s="357"/>
      <c r="W53" s="357"/>
      <c r="X53" s="357"/>
      <c r="Y53" s="357"/>
      <c r="Z53" s="357"/>
      <c r="AA53" s="357"/>
      <c r="AB53" s="357"/>
      <c r="AC53" s="357"/>
      <c r="AD53" s="357"/>
      <c r="AE53" s="357"/>
      <c r="AF53" s="357"/>
      <c r="AG53" s="357"/>
      <c r="AH53" s="357"/>
      <c r="AI53" s="357"/>
      <c r="AJ53" s="357"/>
      <c r="AK53" s="357"/>
      <c r="AL53" s="357"/>
      <c r="AM53" s="357"/>
      <c r="AN53" s="357"/>
      <c r="AO53" s="357"/>
      <c r="AP53" s="357"/>
      <c r="AQ53" s="357"/>
      <c r="AR53" s="357"/>
      <c r="AS53" s="357"/>
      <c r="AT53" s="357"/>
      <c r="AU53" s="357"/>
      <c r="AV53" s="357"/>
      <c r="AW53" s="357"/>
      <c r="AX53" s="357"/>
      <c r="AY53" s="357"/>
      <c r="AZ53" s="357"/>
      <c r="BA53" s="357"/>
      <c r="BB53" s="357"/>
      <c r="BC53" s="357"/>
      <c r="BD53" s="357"/>
      <c r="BE53" s="357"/>
      <c r="BF53" s="357"/>
      <c r="BG53" s="357"/>
      <c r="BH53" s="357"/>
      <c r="BI53" s="357"/>
      <c r="BJ53" s="357"/>
      <c r="BK53" s="357"/>
      <c r="BL53" s="357"/>
      <c r="BM53" s="357"/>
      <c r="BN53" s="357"/>
      <c r="BO53" s="357"/>
      <c r="BP53" s="357"/>
      <c r="BQ53" s="357"/>
      <c r="BR53" s="357"/>
      <c r="BS53" s="357"/>
      <c r="BT53" s="357"/>
      <c r="BU53" s="357"/>
      <c r="BV53" s="357"/>
    </row>
    <row r="54" spans="1:74" ht="16.350000000000001" customHeight="1" x14ac:dyDescent="0.25">
      <c r="A54" s="80" t="s">
        <v>29</v>
      </c>
      <c r="B54" s="18" t="str">
        <f>$C$11</f>
        <v>Ô tô thùng 7T</v>
      </c>
      <c r="C54" s="599" t="s">
        <v>1400</v>
      </c>
      <c r="D54" s="599" t="s">
        <v>1438</v>
      </c>
      <c r="E54" s="599" t="s">
        <v>1063</v>
      </c>
      <c r="F54" s="786">
        <f t="shared" si="7"/>
        <v>1.0449999999999999E-2</v>
      </c>
      <c r="G54" s="18" t="str">
        <f t="shared" ref="G54:G56" si="14">$H$27</f>
        <v>gỗ các loại</v>
      </c>
      <c r="H54" s="742"/>
      <c r="I54" s="2"/>
      <c r="J54" s="80"/>
      <c r="K54" s="80"/>
      <c r="L54" s="18" t="s">
        <v>168</v>
      </c>
      <c r="M54" s="80" t="s">
        <v>1086</v>
      </c>
      <c r="N54" s="652">
        <v>6.2</v>
      </c>
      <c r="O54" s="334"/>
      <c r="P54" s="80"/>
      <c r="Q54" s="771"/>
      <c r="R54" s="334">
        <f>O51*N54/P51/100</f>
        <v>144518.18461538461</v>
      </c>
      <c r="S54" s="2"/>
      <c r="T54" s="357"/>
      <c r="U54" s="357"/>
      <c r="V54" s="357"/>
      <c r="W54" s="357"/>
      <c r="X54" s="357"/>
      <c r="Y54" s="357"/>
      <c r="Z54" s="357"/>
      <c r="AA54" s="357"/>
      <c r="AB54" s="357"/>
      <c r="AC54" s="357"/>
      <c r="AD54" s="357"/>
      <c r="AE54" s="357"/>
      <c r="AF54" s="357"/>
      <c r="AG54" s="357"/>
      <c r="AH54" s="357"/>
      <c r="AI54" s="357"/>
      <c r="AJ54" s="357"/>
      <c r="AK54" s="357"/>
      <c r="AL54" s="357"/>
      <c r="AM54" s="357"/>
      <c r="AN54" s="357"/>
      <c r="AO54" s="357"/>
      <c r="AP54" s="357"/>
      <c r="AQ54" s="357"/>
      <c r="AR54" s="357"/>
      <c r="AS54" s="357"/>
      <c r="AT54" s="357"/>
      <c r="AU54" s="357"/>
      <c r="AV54" s="357"/>
      <c r="AW54" s="357"/>
      <c r="AX54" s="357"/>
      <c r="AY54" s="357"/>
      <c r="AZ54" s="357"/>
      <c r="BA54" s="357"/>
      <c r="BB54" s="357"/>
      <c r="BC54" s="357"/>
      <c r="BD54" s="357"/>
      <c r="BE54" s="357"/>
      <c r="BF54" s="357"/>
      <c r="BG54" s="357"/>
      <c r="BH54" s="357"/>
      <c r="BI54" s="357"/>
      <c r="BJ54" s="357"/>
      <c r="BK54" s="357"/>
      <c r="BL54" s="357"/>
      <c r="BM54" s="357"/>
      <c r="BN54" s="357"/>
      <c r="BO54" s="357"/>
      <c r="BP54" s="357"/>
      <c r="BQ54" s="357"/>
      <c r="BR54" s="357"/>
      <c r="BS54" s="357"/>
      <c r="BT54" s="357"/>
      <c r="BU54" s="357"/>
      <c r="BV54" s="357"/>
    </row>
    <row r="55" spans="1:74" ht="16.350000000000001" customHeight="1" x14ac:dyDescent="0.25">
      <c r="A55" s="80" t="s">
        <v>396</v>
      </c>
      <c r="B55" s="18" t="str">
        <f>$C$12</f>
        <v>Ô tô thùng 12T</v>
      </c>
      <c r="C55" s="599" t="s">
        <v>682</v>
      </c>
      <c r="D55" s="599" t="s">
        <v>1063</v>
      </c>
      <c r="E55" s="599" t="s">
        <v>1089</v>
      </c>
      <c r="F55" s="786">
        <f t="shared" si="7"/>
        <v>5.7000000000000002E-3</v>
      </c>
      <c r="G55" s="18" t="str">
        <f t="shared" si="14"/>
        <v>gỗ các loại</v>
      </c>
      <c r="H55" s="742"/>
      <c r="I55" s="2"/>
      <c r="J55" s="80"/>
      <c r="K55" s="80"/>
      <c r="L55" s="18" t="s">
        <v>432</v>
      </c>
      <c r="M55" s="80" t="s">
        <v>1086</v>
      </c>
      <c r="N55" s="652">
        <v>6</v>
      </c>
      <c r="O55" s="334"/>
      <c r="P55" s="80"/>
      <c r="Q55" s="771"/>
      <c r="R55" s="334">
        <f>O51*N55/P51/100</f>
        <v>139856.30769230769</v>
      </c>
      <c r="S55" s="2"/>
      <c r="T55" s="357"/>
      <c r="U55" s="357"/>
      <c r="V55" s="357"/>
      <c r="W55" s="357"/>
      <c r="X55" s="357"/>
      <c r="Y55" s="357"/>
      <c r="Z55" s="357"/>
      <c r="AA55" s="357"/>
      <c r="AB55" s="357"/>
      <c r="AC55" s="357"/>
      <c r="AD55" s="357"/>
      <c r="AE55" s="357"/>
      <c r="AF55" s="357"/>
      <c r="AG55" s="357"/>
      <c r="AH55" s="357"/>
      <c r="AI55" s="357"/>
      <c r="AJ55" s="357"/>
      <c r="AK55" s="357"/>
      <c r="AL55" s="357"/>
      <c r="AM55" s="357"/>
      <c r="AN55" s="357"/>
      <c r="AO55" s="357"/>
      <c r="AP55" s="357"/>
      <c r="AQ55" s="357"/>
      <c r="AR55" s="357"/>
      <c r="AS55" s="357"/>
      <c r="AT55" s="357"/>
      <c r="AU55" s="357"/>
      <c r="AV55" s="357"/>
      <c r="AW55" s="357"/>
      <c r="AX55" s="357"/>
      <c r="AY55" s="357"/>
      <c r="AZ55" s="357"/>
      <c r="BA55" s="357"/>
      <c r="BB55" s="357"/>
      <c r="BC55" s="357"/>
      <c r="BD55" s="357"/>
      <c r="BE55" s="357"/>
      <c r="BF55" s="357"/>
      <c r="BG55" s="357"/>
      <c r="BH55" s="357"/>
      <c r="BI55" s="357"/>
      <c r="BJ55" s="357"/>
      <c r="BK55" s="357"/>
      <c r="BL55" s="357"/>
      <c r="BM55" s="357"/>
      <c r="BN55" s="357"/>
      <c r="BO55" s="357"/>
      <c r="BP55" s="357"/>
      <c r="BQ55" s="357"/>
      <c r="BR55" s="357"/>
      <c r="BS55" s="357"/>
      <c r="BT55" s="357"/>
      <c r="BU55" s="357"/>
      <c r="BV55" s="357"/>
    </row>
    <row r="56" spans="1:74" ht="16.350000000000001" customHeight="1" x14ac:dyDescent="0.25">
      <c r="A56" s="657" t="s">
        <v>784</v>
      </c>
      <c r="B56" s="593" t="str">
        <f>$C$13</f>
        <v>Ô tô thùng 20T</v>
      </c>
      <c r="C56" s="231" t="s">
        <v>316</v>
      </c>
      <c r="D56" s="231" t="s">
        <v>1089</v>
      </c>
      <c r="E56" s="231" t="s">
        <v>303</v>
      </c>
      <c r="F56" s="435">
        <f t="shared" si="7"/>
        <v>2.8500000000000001E-3</v>
      </c>
      <c r="G56" s="593" t="str">
        <f t="shared" si="14"/>
        <v>gỗ các loại</v>
      </c>
      <c r="H56" s="742"/>
      <c r="I56" s="2"/>
      <c r="J56" s="80"/>
      <c r="K56" s="80"/>
      <c r="L56" s="279" t="s">
        <v>1404</v>
      </c>
      <c r="M56" s="80"/>
      <c r="N56" s="80"/>
      <c r="O56" s="334"/>
      <c r="P56" s="80"/>
      <c r="Q56" s="771"/>
      <c r="R56" s="334">
        <f>SUM(R57:R57)</f>
        <v>323898</v>
      </c>
      <c r="S56" s="2"/>
      <c r="T56" s="357"/>
      <c r="U56" s="357"/>
      <c r="V56" s="357"/>
      <c r="W56" s="357"/>
      <c r="X56" s="357"/>
      <c r="Y56" s="357"/>
      <c r="Z56" s="357"/>
      <c r="AA56" s="357"/>
      <c r="AB56" s="357"/>
      <c r="AC56" s="357"/>
      <c r="AD56" s="357"/>
      <c r="AE56" s="357"/>
      <c r="AF56" s="357"/>
      <c r="AG56" s="357"/>
      <c r="AH56" s="357"/>
      <c r="AI56" s="357"/>
      <c r="AJ56" s="357"/>
      <c r="AK56" s="357"/>
      <c r="AL56" s="357"/>
      <c r="AM56" s="357"/>
      <c r="AN56" s="357"/>
      <c r="AO56" s="357"/>
      <c r="AP56" s="357"/>
      <c r="AQ56" s="357"/>
      <c r="AR56" s="357"/>
      <c r="AS56" s="357"/>
      <c r="AT56" s="357"/>
      <c r="AU56" s="357"/>
      <c r="AV56" s="357"/>
      <c r="AW56" s="357"/>
      <c r="AX56" s="357"/>
      <c r="AY56" s="357"/>
      <c r="AZ56" s="357"/>
      <c r="BA56" s="357"/>
      <c r="BB56" s="357"/>
      <c r="BC56" s="357"/>
      <c r="BD56" s="357"/>
      <c r="BE56" s="357"/>
      <c r="BF56" s="357"/>
      <c r="BG56" s="357"/>
      <c r="BH56" s="357"/>
      <c r="BI56" s="357"/>
      <c r="BJ56" s="357"/>
      <c r="BK56" s="357"/>
      <c r="BL56" s="357"/>
      <c r="BM56" s="357"/>
      <c r="BN56" s="357"/>
      <c r="BO56" s="357"/>
      <c r="BP56" s="357"/>
      <c r="BQ56" s="357"/>
      <c r="BR56" s="357"/>
      <c r="BS56" s="357"/>
      <c r="BT56" s="357"/>
      <c r="BU56" s="357"/>
      <c r="BV56" s="357"/>
    </row>
    <row r="57" spans="1:74" ht="16.350000000000001" customHeight="1" x14ac:dyDescent="0.25">
      <c r="A57" s="2"/>
      <c r="B57" s="2"/>
      <c r="C57" s="2"/>
      <c r="D57" s="2"/>
      <c r="E57" s="2"/>
      <c r="F57" s="812"/>
      <c r="G57" s="2"/>
      <c r="H57" s="742"/>
      <c r="I57" s="2"/>
      <c r="J57" s="80"/>
      <c r="K57" s="80" t="str">
        <f>F8</f>
        <v>NLX434</v>
      </c>
      <c r="L57" s="18" t="s">
        <v>853</v>
      </c>
      <c r="M57" s="80" t="s">
        <v>239</v>
      </c>
      <c r="N57" s="652">
        <v>1</v>
      </c>
      <c r="O57" s="345">
        <f>H8</f>
        <v>323898</v>
      </c>
      <c r="P57" s="80"/>
      <c r="Q57" s="771"/>
      <c r="R57" s="334">
        <f>N57*O57</f>
        <v>323898</v>
      </c>
      <c r="S57" s="2"/>
      <c r="T57" s="357"/>
      <c r="U57" s="357"/>
      <c r="V57" s="357"/>
      <c r="W57" s="357"/>
      <c r="X57" s="357"/>
      <c r="Y57" s="357"/>
      <c r="Z57" s="357"/>
      <c r="AA57" s="357"/>
      <c r="AB57" s="357"/>
      <c r="AC57" s="357"/>
      <c r="AD57" s="357"/>
      <c r="AE57" s="357"/>
      <c r="AF57" s="357"/>
      <c r="AG57" s="357"/>
      <c r="AH57" s="357"/>
      <c r="AI57" s="357"/>
      <c r="AJ57" s="357"/>
      <c r="AK57" s="357"/>
      <c r="AL57" s="357"/>
      <c r="AM57" s="357"/>
      <c r="AN57" s="357"/>
      <c r="AO57" s="357"/>
      <c r="AP57" s="357"/>
      <c r="AQ57" s="357"/>
      <c r="AR57" s="357"/>
      <c r="AS57" s="357"/>
      <c r="AT57" s="357"/>
      <c r="AU57" s="357"/>
      <c r="AV57" s="357"/>
      <c r="AW57" s="357"/>
      <c r="AX57" s="357"/>
      <c r="AY57" s="357"/>
      <c r="AZ57" s="357"/>
      <c r="BA57" s="357"/>
      <c r="BB57" s="357"/>
      <c r="BC57" s="357"/>
      <c r="BD57" s="357"/>
      <c r="BE57" s="357"/>
      <c r="BF57" s="357"/>
      <c r="BG57" s="357"/>
      <c r="BH57" s="357"/>
      <c r="BI57" s="357"/>
      <c r="BJ57" s="357"/>
      <c r="BK57" s="357"/>
      <c r="BL57" s="357"/>
      <c r="BM57" s="357"/>
      <c r="BN57" s="357"/>
      <c r="BO57" s="357"/>
      <c r="BP57" s="357"/>
      <c r="BQ57" s="357"/>
      <c r="BR57" s="357"/>
      <c r="BS57" s="357"/>
      <c r="BT57" s="357"/>
      <c r="BU57" s="357"/>
      <c r="BV57" s="357"/>
    </row>
    <row r="58" spans="1:74" ht="15.4" customHeight="1" x14ac:dyDescent="0.25">
      <c r="A58" s="1118" t="s">
        <v>318</v>
      </c>
      <c r="B58" s="1118"/>
      <c r="C58" s="1118"/>
      <c r="D58" s="1118"/>
      <c r="E58" s="2" t="s">
        <v>35</v>
      </c>
      <c r="F58" s="322">
        <v>0.95</v>
      </c>
      <c r="G58" s="2"/>
      <c r="H58" s="742"/>
      <c r="I58" s="2"/>
      <c r="J58" s="80"/>
      <c r="K58" s="80"/>
      <c r="L58" s="279" t="s">
        <v>1364</v>
      </c>
      <c r="M58" s="80"/>
      <c r="N58" s="80"/>
      <c r="O58" s="334"/>
      <c r="P58" s="80"/>
      <c r="Q58" s="771"/>
      <c r="R58" s="334">
        <f>SUM(R59:R59)</f>
        <v>804270.35</v>
      </c>
      <c r="S58" s="2"/>
      <c r="T58" s="357"/>
      <c r="U58" s="357"/>
      <c r="V58" s="357"/>
      <c r="W58" s="357"/>
      <c r="X58" s="357"/>
      <c r="Y58" s="357"/>
      <c r="Z58" s="357"/>
      <c r="AA58" s="357"/>
      <c r="AB58" s="357"/>
      <c r="AC58" s="357"/>
      <c r="AD58" s="357"/>
      <c r="AE58" s="357"/>
      <c r="AF58" s="357"/>
      <c r="AG58" s="357"/>
      <c r="AH58" s="357"/>
      <c r="AI58" s="357"/>
      <c r="AJ58" s="357"/>
      <c r="AK58" s="357"/>
      <c r="AL58" s="357"/>
      <c r="AM58" s="357"/>
      <c r="AN58" s="357"/>
      <c r="AO58" s="357"/>
      <c r="AP58" s="357"/>
      <c r="AQ58" s="357"/>
      <c r="AR58" s="357"/>
      <c r="AS58" s="357"/>
      <c r="AT58" s="357"/>
      <c r="AU58" s="357"/>
      <c r="AV58" s="357"/>
      <c r="AW58" s="357"/>
      <c r="AX58" s="357"/>
      <c r="AY58" s="357"/>
      <c r="AZ58" s="357"/>
      <c r="BA58" s="357"/>
      <c r="BB58" s="357"/>
      <c r="BC58" s="357"/>
      <c r="BD58" s="357"/>
      <c r="BE58" s="357"/>
      <c r="BF58" s="357"/>
      <c r="BG58" s="357"/>
      <c r="BH58" s="357"/>
      <c r="BI58" s="357"/>
      <c r="BJ58" s="357"/>
      <c r="BK58" s="357"/>
      <c r="BL58" s="357"/>
      <c r="BM58" s="357"/>
      <c r="BN58" s="357"/>
      <c r="BO58" s="357"/>
      <c r="BP58" s="357"/>
      <c r="BQ58" s="357"/>
      <c r="BR58" s="357"/>
      <c r="BS58" s="357"/>
      <c r="BT58" s="357"/>
      <c r="BU58" s="357"/>
      <c r="BV58" s="357"/>
    </row>
    <row r="59" spans="1:74" ht="15.4" customHeight="1" x14ac:dyDescent="0.25">
      <c r="A59" s="688" t="s">
        <v>876</v>
      </c>
      <c r="B59" s="688" t="s">
        <v>1384</v>
      </c>
      <c r="C59" s="688" t="s">
        <v>431</v>
      </c>
      <c r="D59" s="688" t="s">
        <v>1414</v>
      </c>
      <c r="E59" s="688" t="s">
        <v>715</v>
      </c>
      <c r="F59" s="688" t="s">
        <v>1161</v>
      </c>
      <c r="G59" s="688"/>
      <c r="H59" s="742"/>
      <c r="I59" s="2"/>
      <c r="J59" s="907"/>
      <c r="K59" s="907" t="str">
        <f>F9</f>
        <v>D</v>
      </c>
      <c r="L59" s="836" t="s">
        <v>971</v>
      </c>
      <c r="M59" s="907" t="s">
        <v>1431</v>
      </c>
      <c r="N59" s="8">
        <v>41</v>
      </c>
      <c r="O59" s="260">
        <f>H9</f>
        <v>19045</v>
      </c>
      <c r="P59" s="907"/>
      <c r="Q59" s="708">
        <v>1.03</v>
      </c>
      <c r="R59" s="631">
        <f>N59*O59*Q59</f>
        <v>804270.35</v>
      </c>
      <c r="S59" s="2"/>
      <c r="T59" s="357"/>
      <c r="U59" s="357"/>
      <c r="V59" s="357"/>
      <c r="W59" s="357"/>
      <c r="X59" s="357"/>
      <c r="Y59" s="357"/>
      <c r="Z59" s="357"/>
      <c r="AA59" s="357"/>
      <c r="AB59" s="357"/>
      <c r="AC59" s="357"/>
      <c r="AD59" s="357"/>
      <c r="AE59" s="357"/>
      <c r="AF59" s="357"/>
      <c r="AG59" s="357"/>
      <c r="AH59" s="357"/>
      <c r="AI59" s="357"/>
      <c r="AJ59" s="357"/>
      <c r="AK59" s="357"/>
      <c r="AL59" s="357"/>
      <c r="AM59" s="357"/>
      <c r="AN59" s="357"/>
      <c r="AO59" s="357"/>
      <c r="AP59" s="357"/>
      <c r="AQ59" s="357"/>
      <c r="AR59" s="357"/>
      <c r="AS59" s="357"/>
      <c r="AT59" s="357"/>
      <c r="AU59" s="357"/>
      <c r="AV59" s="357"/>
      <c r="AW59" s="357"/>
      <c r="AX59" s="357"/>
      <c r="AY59" s="357"/>
      <c r="AZ59" s="357"/>
      <c r="BA59" s="357"/>
      <c r="BB59" s="357"/>
      <c r="BC59" s="357"/>
      <c r="BD59" s="357"/>
      <c r="BE59" s="357"/>
      <c r="BF59" s="357"/>
      <c r="BG59" s="357"/>
      <c r="BH59" s="357"/>
      <c r="BI59" s="357"/>
      <c r="BJ59" s="357"/>
      <c r="BK59" s="357"/>
      <c r="BL59" s="357"/>
      <c r="BM59" s="357"/>
      <c r="BN59" s="357"/>
      <c r="BO59" s="357"/>
      <c r="BP59" s="357"/>
      <c r="BQ59" s="357"/>
      <c r="BR59" s="357"/>
      <c r="BS59" s="357"/>
      <c r="BT59" s="357"/>
      <c r="BU59" s="357"/>
      <c r="BV59" s="357"/>
    </row>
    <row r="60" spans="1:74" ht="15.4" customHeight="1" x14ac:dyDescent="0.25">
      <c r="A60" s="709" t="s">
        <v>676</v>
      </c>
      <c r="B60" s="655" t="str">
        <f>$C$11</f>
        <v>Ô tô thùng 7T</v>
      </c>
      <c r="C60" s="709" t="s">
        <v>1400</v>
      </c>
      <c r="D60" s="709" t="s">
        <v>1307</v>
      </c>
      <c r="E60" s="709" t="s">
        <v>682</v>
      </c>
      <c r="F60" s="898">
        <f t="shared" ref="F60:F62" si="15">E60*$F$58</f>
        <v>1.4249999999999999E-2</v>
      </c>
      <c r="G60" s="230" t="str">
        <f t="shared" ref="G60:G62" si="16">$H$28</f>
        <v>cấu kiện bê tông, trọng lượng nhỏ hơn 200kg</v>
      </c>
      <c r="H60" s="742"/>
      <c r="I60" s="2"/>
      <c r="J60" s="688">
        <v>7</v>
      </c>
      <c r="K60" s="688" t="s">
        <v>799</v>
      </c>
      <c r="L60" s="688" t="s">
        <v>1250</v>
      </c>
      <c r="M60" s="688" t="s">
        <v>1272</v>
      </c>
      <c r="N60" s="688"/>
      <c r="O60" s="67">
        <v>1248374000</v>
      </c>
      <c r="P60" s="688">
        <v>270</v>
      </c>
      <c r="Q60" s="519"/>
      <c r="R60" s="67">
        <f>R61+R65+R67</f>
        <v>2532079.3777777776</v>
      </c>
      <c r="S60" s="2"/>
      <c r="T60" s="357"/>
      <c r="U60" s="357"/>
      <c r="V60" s="357"/>
      <c r="W60" s="357"/>
      <c r="X60" s="357"/>
      <c r="Y60" s="357"/>
      <c r="Z60" s="357"/>
      <c r="AA60" s="357"/>
      <c r="AB60" s="357"/>
      <c r="AC60" s="357"/>
      <c r="AD60" s="357"/>
      <c r="AE60" s="357"/>
      <c r="AF60" s="357"/>
      <c r="AG60" s="357"/>
      <c r="AH60" s="357"/>
      <c r="AI60" s="357"/>
      <c r="AJ60" s="357"/>
      <c r="AK60" s="357"/>
      <c r="AL60" s="357"/>
      <c r="AM60" s="357"/>
      <c r="AN60" s="357"/>
      <c r="AO60" s="357"/>
      <c r="AP60" s="357"/>
      <c r="AQ60" s="357"/>
      <c r="AR60" s="357"/>
      <c r="AS60" s="357"/>
      <c r="AT60" s="357"/>
      <c r="AU60" s="357"/>
      <c r="AV60" s="357"/>
      <c r="AW60" s="357"/>
      <c r="AX60" s="357"/>
      <c r="AY60" s="357"/>
      <c r="AZ60" s="357"/>
      <c r="BA60" s="357"/>
      <c r="BB60" s="357"/>
      <c r="BC60" s="357"/>
      <c r="BD60" s="357"/>
      <c r="BE60" s="357"/>
      <c r="BF60" s="357"/>
      <c r="BG60" s="357"/>
      <c r="BH60" s="357"/>
      <c r="BI60" s="357"/>
      <c r="BJ60" s="357"/>
      <c r="BK60" s="357"/>
      <c r="BL60" s="357"/>
      <c r="BM60" s="357"/>
      <c r="BN60" s="357"/>
      <c r="BO60" s="357"/>
      <c r="BP60" s="357"/>
      <c r="BQ60" s="357"/>
      <c r="BR60" s="357"/>
      <c r="BS60" s="357"/>
      <c r="BT60" s="357"/>
      <c r="BU60" s="357"/>
      <c r="BV60" s="357"/>
    </row>
    <row r="61" spans="1:74" ht="33" customHeight="1" x14ac:dyDescent="0.25">
      <c r="A61" s="80" t="s">
        <v>653</v>
      </c>
      <c r="B61" s="18" t="str">
        <f>$C$12</f>
        <v>Ô tô thùng 12T</v>
      </c>
      <c r="C61" s="80" t="s">
        <v>660</v>
      </c>
      <c r="D61" s="80" t="s">
        <v>1340</v>
      </c>
      <c r="E61" s="80" t="s">
        <v>416</v>
      </c>
      <c r="F61" s="296">
        <f t="shared" si="15"/>
        <v>9.4999999999999998E-3</v>
      </c>
      <c r="G61" s="529" t="str">
        <f t="shared" si="16"/>
        <v>cấu kiện bê tông, trọng lượng nhỏ hơn 200kg</v>
      </c>
      <c r="H61" s="742"/>
      <c r="I61" s="2"/>
      <c r="J61" s="768"/>
      <c r="K61" s="768"/>
      <c r="L61" s="46" t="s">
        <v>229</v>
      </c>
      <c r="M61" s="768"/>
      <c r="N61" s="768"/>
      <c r="O61" s="90"/>
      <c r="P61" s="768"/>
      <c r="Q61" s="547"/>
      <c r="R61" s="90">
        <f>SUM(R62:R64)</f>
        <v>1109665.7777777778</v>
      </c>
      <c r="S61" s="2"/>
      <c r="T61" s="357"/>
      <c r="U61" s="357"/>
      <c r="V61" s="357"/>
      <c r="W61" s="357"/>
      <c r="X61" s="357"/>
      <c r="Y61" s="357"/>
      <c r="Z61" s="357"/>
      <c r="AA61" s="357"/>
      <c r="AB61" s="357"/>
      <c r="AC61" s="357"/>
      <c r="AD61" s="357"/>
      <c r="AE61" s="357"/>
      <c r="AF61" s="357"/>
      <c r="AG61" s="357"/>
      <c r="AH61" s="357"/>
      <c r="AI61" s="357"/>
      <c r="AJ61" s="357"/>
      <c r="AK61" s="357"/>
      <c r="AL61" s="357"/>
      <c r="AM61" s="357"/>
      <c r="AN61" s="357"/>
      <c r="AO61" s="357"/>
      <c r="AP61" s="357"/>
      <c r="AQ61" s="357"/>
      <c r="AR61" s="357"/>
      <c r="AS61" s="357"/>
      <c r="AT61" s="357"/>
      <c r="AU61" s="357"/>
      <c r="AV61" s="357"/>
      <c r="AW61" s="357"/>
      <c r="AX61" s="357"/>
      <c r="AY61" s="357"/>
      <c r="AZ61" s="357"/>
      <c r="BA61" s="357"/>
      <c r="BB61" s="357"/>
      <c r="BC61" s="357"/>
      <c r="BD61" s="357"/>
      <c r="BE61" s="357"/>
      <c r="BF61" s="357"/>
      <c r="BG61" s="357"/>
      <c r="BH61" s="357"/>
      <c r="BI61" s="357"/>
      <c r="BJ61" s="357"/>
      <c r="BK61" s="357"/>
      <c r="BL61" s="357"/>
      <c r="BM61" s="357"/>
      <c r="BN61" s="357"/>
      <c r="BO61" s="357"/>
      <c r="BP61" s="357"/>
      <c r="BQ61" s="357"/>
      <c r="BR61" s="357"/>
      <c r="BS61" s="357"/>
      <c r="BT61" s="357"/>
      <c r="BU61" s="357"/>
      <c r="BV61" s="357"/>
    </row>
    <row r="62" spans="1:74" ht="30.6" customHeight="1" x14ac:dyDescent="0.25">
      <c r="A62" s="657" t="s">
        <v>1077</v>
      </c>
      <c r="B62" s="593" t="str">
        <f>$C$13</f>
        <v>Ô tô thùng 20T</v>
      </c>
      <c r="C62" s="657" t="s">
        <v>1063</v>
      </c>
      <c r="D62" s="657" t="s">
        <v>1116</v>
      </c>
      <c r="E62" s="657" t="s">
        <v>1089</v>
      </c>
      <c r="F62" s="832">
        <f t="shared" si="15"/>
        <v>5.7000000000000002E-3</v>
      </c>
      <c r="G62" s="174" t="str">
        <f t="shared" si="16"/>
        <v>cấu kiện bê tông, trọng lượng nhỏ hơn 200kg</v>
      </c>
      <c r="H62" s="742"/>
      <c r="I62" s="2"/>
      <c r="J62" s="80"/>
      <c r="K62" s="80"/>
      <c r="L62" s="18" t="s">
        <v>84</v>
      </c>
      <c r="M62" s="80" t="s">
        <v>1086</v>
      </c>
      <c r="N62" s="652">
        <v>14</v>
      </c>
      <c r="O62" s="334"/>
      <c r="P62" s="80"/>
      <c r="Q62" s="408">
        <v>0.9</v>
      </c>
      <c r="R62" s="334">
        <f>O60*N62*Q62/P60/100</f>
        <v>582574.53333333333</v>
      </c>
      <c r="S62" s="2"/>
      <c r="T62" s="357"/>
      <c r="U62" s="357"/>
      <c r="V62" s="357"/>
      <c r="W62" s="357"/>
      <c r="X62" s="357"/>
      <c r="Y62" s="357"/>
      <c r="Z62" s="357"/>
      <c r="AA62" s="357"/>
      <c r="AB62" s="357"/>
      <c r="AC62" s="357"/>
      <c r="AD62" s="357"/>
      <c r="AE62" s="357"/>
      <c r="AF62" s="357"/>
      <c r="AG62" s="357"/>
      <c r="AH62" s="357"/>
      <c r="AI62" s="357"/>
      <c r="AJ62" s="357"/>
      <c r="AK62" s="357"/>
      <c r="AL62" s="357"/>
      <c r="AM62" s="357"/>
      <c r="AN62" s="357"/>
      <c r="AO62" s="357"/>
      <c r="AP62" s="357"/>
      <c r="AQ62" s="357"/>
      <c r="AR62" s="357"/>
      <c r="AS62" s="357"/>
      <c r="AT62" s="357"/>
      <c r="AU62" s="357"/>
      <c r="AV62" s="357"/>
      <c r="AW62" s="357"/>
      <c r="AX62" s="357"/>
      <c r="AY62" s="357"/>
      <c r="AZ62" s="357"/>
      <c r="BA62" s="357"/>
      <c r="BB62" s="357"/>
      <c r="BC62" s="357"/>
      <c r="BD62" s="357"/>
      <c r="BE62" s="357"/>
      <c r="BF62" s="357"/>
      <c r="BG62" s="357"/>
      <c r="BH62" s="357"/>
      <c r="BI62" s="357"/>
      <c r="BJ62" s="357"/>
      <c r="BK62" s="357"/>
      <c r="BL62" s="357"/>
      <c r="BM62" s="357"/>
      <c r="BN62" s="357"/>
      <c r="BO62" s="357"/>
      <c r="BP62" s="357"/>
      <c r="BQ62" s="357"/>
      <c r="BR62" s="357"/>
      <c r="BS62" s="357"/>
      <c r="BT62" s="357"/>
      <c r="BU62" s="357"/>
      <c r="BV62" s="357"/>
    </row>
    <row r="63" spans="1:74" ht="30.6" customHeight="1" x14ac:dyDescent="0.25">
      <c r="A63" s="2"/>
      <c r="B63" s="2"/>
      <c r="C63" s="2"/>
      <c r="D63" s="2"/>
      <c r="E63" s="2"/>
      <c r="F63" s="812"/>
      <c r="G63" s="2"/>
      <c r="H63" s="742"/>
      <c r="I63" s="2"/>
      <c r="J63" s="80"/>
      <c r="K63" s="80"/>
      <c r="L63" s="18" t="s">
        <v>168</v>
      </c>
      <c r="M63" s="80" t="s">
        <v>1086</v>
      </c>
      <c r="N63" s="652">
        <v>5.4</v>
      </c>
      <c r="O63" s="334"/>
      <c r="P63" s="80"/>
      <c r="Q63" s="771"/>
      <c r="R63" s="334">
        <f>O60*N63/P60/100</f>
        <v>249674.8</v>
      </c>
      <c r="S63" s="2"/>
      <c r="T63" s="357"/>
      <c r="U63" s="357"/>
      <c r="V63" s="357"/>
      <c r="W63" s="357"/>
      <c r="X63" s="357"/>
      <c r="Y63" s="357"/>
      <c r="Z63" s="357"/>
      <c r="AA63" s="357"/>
      <c r="AB63" s="357"/>
      <c r="AC63" s="357"/>
      <c r="AD63" s="357"/>
      <c r="AE63" s="357"/>
      <c r="AF63" s="357"/>
      <c r="AG63" s="357"/>
      <c r="AH63" s="357"/>
      <c r="AI63" s="357"/>
      <c r="AJ63" s="357"/>
      <c r="AK63" s="357"/>
      <c r="AL63" s="357"/>
      <c r="AM63" s="357"/>
      <c r="AN63" s="357"/>
      <c r="AO63" s="357"/>
      <c r="AP63" s="357"/>
      <c r="AQ63" s="357"/>
      <c r="AR63" s="357"/>
      <c r="AS63" s="357"/>
      <c r="AT63" s="357"/>
      <c r="AU63" s="357"/>
      <c r="AV63" s="357"/>
      <c r="AW63" s="357"/>
      <c r="AX63" s="357"/>
      <c r="AY63" s="357"/>
      <c r="AZ63" s="357"/>
      <c r="BA63" s="357"/>
      <c r="BB63" s="357"/>
      <c r="BC63" s="357"/>
      <c r="BD63" s="357"/>
      <c r="BE63" s="357"/>
      <c r="BF63" s="357"/>
      <c r="BG63" s="357"/>
      <c r="BH63" s="357"/>
      <c r="BI63" s="357"/>
      <c r="BJ63" s="357"/>
      <c r="BK63" s="357"/>
      <c r="BL63" s="357"/>
      <c r="BM63" s="357"/>
      <c r="BN63" s="357"/>
      <c r="BO63" s="357"/>
      <c r="BP63" s="357"/>
      <c r="BQ63" s="357"/>
      <c r="BR63" s="357"/>
      <c r="BS63" s="357"/>
      <c r="BT63" s="357"/>
      <c r="BU63" s="357"/>
      <c r="BV63" s="357"/>
    </row>
    <row r="64" spans="1:74" ht="15.4" customHeight="1" x14ac:dyDescent="0.25">
      <c r="A64" s="1118" t="s">
        <v>318</v>
      </c>
      <c r="B64" s="1118"/>
      <c r="C64" s="1118"/>
      <c r="D64" s="1118"/>
      <c r="E64" s="2" t="s">
        <v>35</v>
      </c>
      <c r="F64" s="322">
        <v>0.95</v>
      </c>
      <c r="G64" s="2"/>
      <c r="H64" s="742"/>
      <c r="I64" s="2"/>
      <c r="J64" s="80"/>
      <c r="K64" s="80"/>
      <c r="L64" s="18" t="s">
        <v>432</v>
      </c>
      <c r="M64" s="80" t="s">
        <v>1086</v>
      </c>
      <c r="N64" s="652">
        <v>6</v>
      </c>
      <c r="O64" s="334"/>
      <c r="P64" s="80"/>
      <c r="Q64" s="771"/>
      <c r="R64" s="334">
        <f>O60*N64/P60/100</f>
        <v>277416.44444444444</v>
      </c>
      <c r="S64" s="2"/>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c r="AQ64" s="357"/>
      <c r="AR64" s="357"/>
      <c r="AS64" s="357"/>
      <c r="AT64" s="357"/>
      <c r="AU64" s="357"/>
      <c r="AV64" s="357"/>
      <c r="AW64" s="357"/>
      <c r="AX64" s="357"/>
      <c r="AY64" s="357"/>
      <c r="AZ64" s="357"/>
      <c r="BA64" s="357"/>
      <c r="BB64" s="357"/>
      <c r="BC64" s="357"/>
      <c r="BD64" s="357"/>
      <c r="BE64" s="357"/>
      <c r="BF64" s="357"/>
      <c r="BG64" s="357"/>
      <c r="BH64" s="357"/>
      <c r="BI64" s="357"/>
      <c r="BJ64" s="357"/>
      <c r="BK64" s="357"/>
      <c r="BL64" s="357"/>
      <c r="BM64" s="357"/>
      <c r="BN64" s="357"/>
      <c r="BO64" s="357"/>
      <c r="BP64" s="357"/>
      <c r="BQ64" s="357"/>
      <c r="BR64" s="357"/>
      <c r="BS64" s="357"/>
      <c r="BT64" s="357"/>
      <c r="BU64" s="357"/>
      <c r="BV64" s="357"/>
    </row>
    <row r="65" spans="1:74" ht="15.4" customHeight="1" x14ac:dyDescent="0.25">
      <c r="A65" s="688" t="s">
        <v>876</v>
      </c>
      <c r="B65" s="688" t="s">
        <v>1384</v>
      </c>
      <c r="C65" s="688" t="s">
        <v>431</v>
      </c>
      <c r="D65" s="688" t="s">
        <v>1414</v>
      </c>
      <c r="E65" s="688" t="s">
        <v>715</v>
      </c>
      <c r="F65" s="688" t="s">
        <v>1161</v>
      </c>
      <c r="G65" s="688"/>
      <c r="H65" s="742"/>
      <c r="I65" s="2"/>
      <c r="J65" s="80"/>
      <c r="K65" s="80"/>
      <c r="L65" s="279" t="s">
        <v>1404</v>
      </c>
      <c r="M65" s="80"/>
      <c r="N65" s="80"/>
      <c r="O65" s="334"/>
      <c r="P65" s="80"/>
      <c r="Q65" s="771"/>
      <c r="R65" s="334">
        <f>SUM(R66:R66)</f>
        <v>323898</v>
      </c>
      <c r="S65" s="2"/>
      <c r="T65" s="357"/>
      <c r="U65" s="357"/>
      <c r="V65" s="357"/>
      <c r="W65" s="357"/>
      <c r="X65" s="357"/>
      <c r="Y65" s="357"/>
      <c r="Z65" s="357"/>
      <c r="AA65" s="357"/>
      <c r="AB65" s="357"/>
      <c r="AC65" s="357"/>
      <c r="AD65" s="357"/>
      <c r="AE65" s="357"/>
      <c r="AF65" s="357"/>
      <c r="AG65" s="357"/>
      <c r="AH65" s="357"/>
      <c r="AI65" s="357"/>
      <c r="AJ65" s="357"/>
      <c r="AK65" s="357"/>
      <c r="AL65" s="357"/>
      <c r="AM65" s="357"/>
      <c r="AN65" s="357"/>
      <c r="AO65" s="357"/>
      <c r="AP65" s="357"/>
      <c r="AQ65" s="357"/>
      <c r="AR65" s="357"/>
      <c r="AS65" s="357"/>
      <c r="AT65" s="357"/>
      <c r="AU65" s="357"/>
      <c r="AV65" s="357"/>
      <c r="AW65" s="357"/>
      <c r="AX65" s="357"/>
      <c r="AY65" s="357"/>
      <c r="AZ65" s="357"/>
      <c r="BA65" s="357"/>
      <c r="BB65" s="357"/>
      <c r="BC65" s="357"/>
      <c r="BD65" s="357"/>
      <c r="BE65" s="357"/>
      <c r="BF65" s="357"/>
      <c r="BG65" s="357"/>
      <c r="BH65" s="357"/>
      <c r="BI65" s="357"/>
      <c r="BJ65" s="357"/>
      <c r="BK65" s="357"/>
      <c r="BL65" s="357"/>
      <c r="BM65" s="357"/>
      <c r="BN65" s="357"/>
      <c r="BO65" s="357"/>
      <c r="BP65" s="357"/>
      <c r="BQ65" s="357"/>
      <c r="BR65" s="357"/>
      <c r="BS65" s="357"/>
      <c r="BT65" s="357"/>
      <c r="BU65" s="357"/>
      <c r="BV65" s="357"/>
    </row>
    <row r="66" spans="1:74" ht="15.4" customHeight="1" x14ac:dyDescent="0.25">
      <c r="A66" s="709" t="s">
        <v>470</v>
      </c>
      <c r="B66" s="655" t="str">
        <f>$C$11</f>
        <v>Ô tô thùng 7T</v>
      </c>
      <c r="C66" s="291" t="s">
        <v>796</v>
      </c>
      <c r="D66" s="291" t="s">
        <v>430</v>
      </c>
      <c r="E66" s="291">
        <v>1.7000000000000001E-2</v>
      </c>
      <c r="F66" s="496">
        <f t="shared" ref="F66:F68" si="17">E66*$F$64</f>
        <v>1.6150000000000001E-2</v>
      </c>
      <c r="G66" s="655" t="str">
        <f t="shared" ref="G66:G68" si="18">$H$29</f>
        <v>ống cống bê tông</v>
      </c>
      <c r="H66" s="742"/>
      <c r="I66" s="2"/>
      <c r="J66" s="80"/>
      <c r="K66" s="80" t="str">
        <f>F8</f>
        <v>NLX434</v>
      </c>
      <c r="L66" s="18" t="s">
        <v>853</v>
      </c>
      <c r="M66" s="80" t="s">
        <v>239</v>
      </c>
      <c r="N66" s="652">
        <v>1</v>
      </c>
      <c r="O66" s="345">
        <f>H8</f>
        <v>323898</v>
      </c>
      <c r="P66" s="80"/>
      <c r="Q66" s="771"/>
      <c r="R66" s="334">
        <f>N66*O66</f>
        <v>323898</v>
      </c>
      <c r="S66" s="2"/>
      <c r="T66" s="357"/>
      <c r="U66" s="357"/>
      <c r="V66" s="357"/>
      <c r="W66" s="357"/>
      <c r="X66" s="357"/>
      <c r="Y66" s="357"/>
      <c r="Z66" s="357"/>
      <c r="AA66" s="357"/>
      <c r="AB66" s="357"/>
      <c r="AC66" s="357"/>
      <c r="AD66" s="357"/>
      <c r="AE66" s="357"/>
      <c r="AF66" s="357"/>
      <c r="AG66" s="357"/>
      <c r="AH66" s="357"/>
      <c r="AI66" s="357"/>
      <c r="AJ66" s="357"/>
      <c r="AK66" s="357"/>
      <c r="AL66" s="357"/>
      <c r="AM66" s="357"/>
      <c r="AN66" s="357"/>
      <c r="AO66" s="357"/>
      <c r="AP66" s="357"/>
      <c r="AQ66" s="357"/>
      <c r="AR66" s="357"/>
      <c r="AS66" s="357"/>
      <c r="AT66" s="357"/>
      <c r="AU66" s="357"/>
      <c r="AV66" s="357"/>
      <c r="AW66" s="357"/>
      <c r="AX66" s="357"/>
      <c r="AY66" s="357"/>
      <c r="AZ66" s="357"/>
      <c r="BA66" s="357"/>
      <c r="BB66" s="357"/>
      <c r="BC66" s="357"/>
      <c r="BD66" s="357"/>
      <c r="BE66" s="357"/>
      <c r="BF66" s="357"/>
      <c r="BG66" s="357"/>
      <c r="BH66" s="357"/>
      <c r="BI66" s="357"/>
      <c r="BJ66" s="357"/>
      <c r="BK66" s="357"/>
      <c r="BL66" s="357"/>
      <c r="BM66" s="357"/>
      <c r="BN66" s="357"/>
      <c r="BO66" s="357"/>
      <c r="BP66" s="357"/>
      <c r="BQ66" s="357"/>
      <c r="BR66" s="357"/>
      <c r="BS66" s="357"/>
      <c r="BT66" s="357"/>
      <c r="BU66" s="357"/>
      <c r="BV66" s="357"/>
    </row>
    <row r="67" spans="1:74" ht="16.350000000000001" customHeight="1" x14ac:dyDescent="0.25">
      <c r="A67" s="80" t="s">
        <v>880</v>
      </c>
      <c r="B67" s="18" t="str">
        <f>$C$12</f>
        <v>Ô tô thùng 12T</v>
      </c>
      <c r="C67" s="599" t="s">
        <v>215</v>
      </c>
      <c r="D67" s="599" t="s">
        <v>980</v>
      </c>
      <c r="E67" s="604" t="s">
        <v>1032</v>
      </c>
      <c r="F67" s="786">
        <f t="shared" si="17"/>
        <v>1.14E-2</v>
      </c>
      <c r="G67" s="18" t="str">
        <f t="shared" si="18"/>
        <v>ống cống bê tông</v>
      </c>
      <c r="H67" s="742"/>
      <c r="I67" s="2"/>
      <c r="J67" s="80"/>
      <c r="K67" s="80"/>
      <c r="L67" s="279" t="s">
        <v>1364</v>
      </c>
      <c r="M67" s="80"/>
      <c r="N67" s="80"/>
      <c r="O67" s="334"/>
      <c r="P67" s="80"/>
      <c r="Q67" s="771"/>
      <c r="R67" s="334">
        <f>SUM(R68:R68)</f>
        <v>1098515.6000000001</v>
      </c>
      <c r="S67" s="2"/>
      <c r="T67" s="357"/>
      <c r="U67" s="357"/>
      <c r="V67" s="357"/>
      <c r="W67" s="357"/>
      <c r="X67" s="357"/>
      <c r="Y67" s="357"/>
      <c r="Z67" s="357"/>
      <c r="AA67" s="357"/>
      <c r="AB67" s="357"/>
      <c r="AC67" s="357"/>
      <c r="AD67" s="357"/>
      <c r="AE67" s="357"/>
      <c r="AF67" s="357"/>
      <c r="AG67" s="357"/>
      <c r="AH67" s="357"/>
      <c r="AI67" s="357"/>
      <c r="AJ67" s="357"/>
      <c r="AK67" s="357"/>
      <c r="AL67" s="357"/>
      <c r="AM67" s="357"/>
      <c r="AN67" s="357"/>
      <c r="AO67" s="357"/>
      <c r="AP67" s="357"/>
      <c r="AQ67" s="357"/>
      <c r="AR67" s="357"/>
      <c r="AS67" s="357"/>
      <c r="AT67" s="357"/>
      <c r="AU67" s="357"/>
      <c r="AV67" s="357"/>
      <c r="AW67" s="357"/>
      <c r="AX67" s="357"/>
      <c r="AY67" s="357"/>
      <c r="AZ67" s="357"/>
      <c r="BA67" s="357"/>
      <c r="BB67" s="357"/>
      <c r="BC67" s="357"/>
      <c r="BD67" s="357"/>
      <c r="BE67" s="357"/>
      <c r="BF67" s="357"/>
      <c r="BG67" s="357"/>
      <c r="BH67" s="357"/>
      <c r="BI67" s="357"/>
      <c r="BJ67" s="357"/>
      <c r="BK67" s="357"/>
      <c r="BL67" s="357"/>
      <c r="BM67" s="357"/>
      <c r="BN67" s="357"/>
      <c r="BO67" s="357"/>
      <c r="BP67" s="357"/>
      <c r="BQ67" s="357"/>
      <c r="BR67" s="357"/>
      <c r="BS67" s="357"/>
      <c r="BT67" s="357"/>
      <c r="BU67" s="357"/>
      <c r="BV67" s="357"/>
    </row>
    <row r="68" spans="1:74" ht="16.350000000000001" customHeight="1" x14ac:dyDescent="0.25">
      <c r="A68" s="657" t="s">
        <v>1269</v>
      </c>
      <c r="B68" s="593" t="str">
        <f>$C$13</f>
        <v>Ô tô thùng 20T</v>
      </c>
      <c r="C68" s="231" t="s">
        <v>1340</v>
      </c>
      <c r="D68" s="231" t="s">
        <v>621</v>
      </c>
      <c r="E68" s="231" t="s">
        <v>316</v>
      </c>
      <c r="F68" s="435">
        <f t="shared" si="17"/>
        <v>8.5499999999999986E-3</v>
      </c>
      <c r="G68" s="593" t="str">
        <f t="shared" si="18"/>
        <v>ống cống bê tông</v>
      </c>
      <c r="H68" s="742"/>
      <c r="I68" s="2"/>
      <c r="J68" s="657"/>
      <c r="K68" s="657" t="str">
        <f>F9</f>
        <v>D</v>
      </c>
      <c r="L68" s="593" t="s">
        <v>971</v>
      </c>
      <c r="M68" s="657" t="s">
        <v>1431</v>
      </c>
      <c r="N68" s="280">
        <v>56</v>
      </c>
      <c r="O68" s="881">
        <f>H9</f>
        <v>19045</v>
      </c>
      <c r="P68" s="657"/>
      <c r="Q68" s="429">
        <v>1.03</v>
      </c>
      <c r="R68" s="863">
        <f>N68*O68*Q68</f>
        <v>1098515.6000000001</v>
      </c>
      <c r="S68" s="2"/>
      <c r="T68" s="357"/>
      <c r="U68" s="357"/>
      <c r="V68" s="357"/>
      <c r="W68" s="357"/>
      <c r="X68" s="357"/>
      <c r="Y68" s="357"/>
      <c r="Z68" s="357"/>
      <c r="AA68" s="357"/>
      <c r="AB68" s="357"/>
      <c r="AC68" s="357"/>
      <c r="AD68" s="357"/>
      <c r="AE68" s="357"/>
      <c r="AF68" s="357"/>
      <c r="AG68" s="357"/>
      <c r="AH68" s="357"/>
      <c r="AI68" s="357"/>
      <c r="AJ68" s="357"/>
      <c r="AK68" s="357"/>
      <c r="AL68" s="357"/>
      <c r="AM68" s="357"/>
      <c r="AN68" s="357"/>
      <c r="AO68" s="357"/>
      <c r="AP68" s="357"/>
      <c r="AQ68" s="357"/>
      <c r="AR68" s="357"/>
      <c r="AS68" s="357"/>
      <c r="AT68" s="357"/>
      <c r="AU68" s="357"/>
      <c r="AV68" s="357"/>
      <c r="AW68" s="357"/>
      <c r="AX68" s="357"/>
      <c r="AY68" s="357"/>
      <c r="AZ68" s="357"/>
      <c r="BA68" s="357"/>
      <c r="BB68" s="357"/>
      <c r="BC68" s="357"/>
      <c r="BD68" s="357"/>
      <c r="BE68" s="357"/>
      <c r="BF68" s="357"/>
      <c r="BG68" s="357"/>
      <c r="BH68" s="357"/>
      <c r="BI68" s="357"/>
      <c r="BJ68" s="357"/>
      <c r="BK68" s="357"/>
      <c r="BL68" s="357"/>
      <c r="BM68" s="357"/>
      <c r="BN68" s="357"/>
      <c r="BO68" s="357"/>
      <c r="BP68" s="357"/>
      <c r="BQ68" s="357"/>
      <c r="BR68" s="357"/>
      <c r="BS68" s="357"/>
      <c r="BT68" s="357"/>
      <c r="BU68" s="357"/>
      <c r="BV68" s="357"/>
    </row>
    <row r="69" spans="1:74" ht="16.350000000000001" customHeight="1" x14ac:dyDescent="0.25">
      <c r="A69" s="161"/>
      <c r="B69" s="2"/>
      <c r="C69" s="2"/>
      <c r="D69" s="2"/>
      <c r="E69" s="2"/>
      <c r="F69" s="812"/>
      <c r="G69" s="2"/>
      <c r="H69" s="742"/>
      <c r="I69" s="2"/>
      <c r="J69" s="2"/>
      <c r="K69" s="161"/>
      <c r="L69" s="2"/>
      <c r="M69" s="2"/>
      <c r="N69" s="2"/>
      <c r="O69" s="2"/>
      <c r="P69" s="2"/>
      <c r="Q69" s="2"/>
      <c r="R69" s="2"/>
      <c r="S69" s="2"/>
      <c r="T69" s="357"/>
      <c r="U69" s="357"/>
      <c r="V69" s="357"/>
      <c r="W69" s="357"/>
      <c r="X69" s="357"/>
      <c r="Y69" s="357"/>
      <c r="Z69" s="357"/>
      <c r="AA69" s="357"/>
      <c r="AB69" s="357"/>
      <c r="AC69" s="357"/>
      <c r="AD69" s="357"/>
      <c r="AE69" s="357"/>
      <c r="AF69" s="357"/>
      <c r="AG69" s="357"/>
      <c r="AH69" s="357"/>
      <c r="AI69" s="357"/>
      <c r="AJ69" s="357"/>
      <c r="AK69" s="357"/>
      <c r="AL69" s="357"/>
      <c r="AM69" s="357"/>
      <c r="AN69" s="357"/>
      <c r="AO69" s="357"/>
      <c r="AP69" s="357"/>
      <c r="AQ69" s="357"/>
      <c r="AR69" s="357"/>
      <c r="AS69" s="357"/>
      <c r="AT69" s="357"/>
      <c r="AU69" s="357"/>
      <c r="AV69" s="357"/>
      <c r="AW69" s="357"/>
      <c r="AX69" s="357"/>
      <c r="AY69" s="357"/>
      <c r="AZ69" s="357"/>
      <c r="BA69" s="357"/>
      <c r="BB69" s="357"/>
      <c r="BC69" s="357"/>
      <c r="BD69" s="357"/>
      <c r="BE69" s="357"/>
      <c r="BF69" s="357"/>
      <c r="BG69" s="357"/>
      <c r="BH69" s="357"/>
      <c r="BI69" s="357"/>
      <c r="BJ69" s="357"/>
      <c r="BK69" s="357"/>
      <c r="BL69" s="357"/>
      <c r="BM69" s="357"/>
      <c r="BN69" s="357"/>
      <c r="BO69" s="357"/>
      <c r="BP69" s="357"/>
      <c r="BQ69" s="357"/>
      <c r="BR69" s="357"/>
      <c r="BS69" s="357"/>
      <c r="BT69" s="357"/>
      <c r="BU69" s="357"/>
      <c r="BV69" s="357"/>
    </row>
    <row r="70" spans="1:74" ht="15.4" customHeight="1" x14ac:dyDescent="0.25">
      <c r="A70" s="1118" t="s">
        <v>318</v>
      </c>
      <c r="B70" s="1118"/>
      <c r="C70" s="1118"/>
      <c r="D70" s="1118"/>
      <c r="E70" s="2" t="s">
        <v>35</v>
      </c>
      <c r="F70" s="322">
        <v>0.95</v>
      </c>
      <c r="G70" s="2"/>
      <c r="H70" s="742"/>
      <c r="I70" s="2"/>
      <c r="J70" s="2"/>
      <c r="K70" s="161"/>
      <c r="L70" s="2"/>
      <c r="M70" s="2"/>
      <c r="N70" s="2"/>
      <c r="O70" s="2"/>
      <c r="P70" s="2"/>
      <c r="Q70" s="2"/>
      <c r="R70" s="2"/>
      <c r="S70" s="2"/>
      <c r="T70" s="357"/>
      <c r="U70" s="357"/>
      <c r="V70" s="357"/>
      <c r="W70" s="357"/>
      <c r="X70" s="357"/>
      <c r="Y70" s="357"/>
      <c r="Z70" s="357"/>
      <c r="AA70" s="357"/>
      <c r="AB70" s="357"/>
      <c r="AC70" s="357"/>
      <c r="AD70" s="357"/>
      <c r="AE70" s="357"/>
      <c r="AF70" s="357"/>
      <c r="AG70" s="357"/>
      <c r="AH70" s="357"/>
      <c r="AI70" s="357"/>
      <c r="AJ70" s="357"/>
      <c r="AK70" s="357"/>
      <c r="AL70" s="357"/>
      <c r="AM70" s="357"/>
      <c r="AN70" s="357"/>
      <c r="AO70" s="357"/>
      <c r="AP70" s="357"/>
      <c r="AQ70" s="357"/>
      <c r="AR70" s="357"/>
      <c r="AS70" s="357"/>
      <c r="AT70" s="357"/>
      <c r="AU70" s="357"/>
      <c r="AV70" s="357"/>
      <c r="AW70" s="357"/>
      <c r="AX70" s="357"/>
      <c r="AY70" s="357"/>
      <c r="AZ70" s="357"/>
      <c r="BA70" s="357"/>
      <c r="BB70" s="357"/>
      <c r="BC70" s="357"/>
      <c r="BD70" s="357"/>
      <c r="BE70" s="357"/>
      <c r="BF70" s="357"/>
      <c r="BG70" s="357"/>
      <c r="BH70" s="357"/>
      <c r="BI70" s="357"/>
      <c r="BJ70" s="357"/>
      <c r="BK70" s="357"/>
      <c r="BL70" s="357"/>
      <c r="BM70" s="357"/>
      <c r="BN70" s="357"/>
      <c r="BO70" s="357"/>
      <c r="BP70" s="357"/>
      <c r="BQ70" s="357"/>
      <c r="BR70" s="357"/>
      <c r="BS70" s="357"/>
      <c r="BT70" s="357"/>
      <c r="BU70" s="357"/>
      <c r="BV70" s="357"/>
    </row>
    <row r="71" spans="1:74" ht="15.4" customHeight="1" x14ac:dyDescent="0.25">
      <c r="A71" s="688" t="s">
        <v>876</v>
      </c>
      <c r="B71" s="688" t="s">
        <v>1384</v>
      </c>
      <c r="C71" s="688" t="s">
        <v>431</v>
      </c>
      <c r="D71" s="688" t="s">
        <v>1414</v>
      </c>
      <c r="E71" s="688" t="s">
        <v>715</v>
      </c>
      <c r="F71" s="688" t="s">
        <v>1161</v>
      </c>
      <c r="G71" s="688"/>
      <c r="H71" s="742"/>
      <c r="I71" s="2"/>
      <c r="J71" s="2"/>
      <c r="K71" s="161"/>
      <c r="L71" s="2"/>
      <c r="M71" s="2"/>
      <c r="N71" s="2"/>
      <c r="O71" s="2"/>
      <c r="P71" s="2"/>
      <c r="Q71" s="2"/>
      <c r="R71" s="2"/>
      <c r="S71" s="2"/>
      <c r="T71" s="357"/>
      <c r="U71" s="357"/>
      <c r="V71" s="357"/>
      <c r="W71" s="357"/>
      <c r="X71" s="357"/>
      <c r="Y71" s="357"/>
      <c r="Z71" s="357"/>
      <c r="AA71" s="357"/>
      <c r="AB71" s="357"/>
      <c r="AC71" s="357"/>
      <c r="AD71" s="357"/>
      <c r="AE71" s="357"/>
      <c r="AF71" s="357"/>
      <c r="AG71" s="357"/>
      <c r="AH71" s="357"/>
      <c r="AI71" s="357"/>
      <c r="AJ71" s="357"/>
      <c r="AK71" s="357"/>
      <c r="AL71" s="357"/>
      <c r="AM71" s="357"/>
      <c r="AN71" s="357"/>
      <c r="AO71" s="357"/>
      <c r="AP71" s="357"/>
      <c r="AQ71" s="357"/>
      <c r="AR71" s="357"/>
      <c r="AS71" s="357"/>
      <c r="AT71" s="357"/>
      <c r="AU71" s="357"/>
      <c r="AV71" s="357"/>
      <c r="AW71" s="357"/>
      <c r="AX71" s="357"/>
      <c r="AY71" s="357"/>
      <c r="AZ71" s="357"/>
      <c r="BA71" s="357"/>
      <c r="BB71" s="357"/>
      <c r="BC71" s="357"/>
      <c r="BD71" s="357"/>
      <c r="BE71" s="357"/>
      <c r="BF71" s="357"/>
      <c r="BG71" s="357"/>
      <c r="BH71" s="357"/>
      <c r="BI71" s="357"/>
      <c r="BJ71" s="357"/>
      <c r="BK71" s="357"/>
      <c r="BL71" s="357"/>
      <c r="BM71" s="357"/>
      <c r="BN71" s="357"/>
      <c r="BO71" s="357"/>
      <c r="BP71" s="357"/>
      <c r="BQ71" s="357"/>
      <c r="BR71" s="357"/>
      <c r="BS71" s="357"/>
      <c r="BT71" s="357"/>
      <c r="BU71" s="357"/>
      <c r="BV71" s="357"/>
    </row>
    <row r="72" spans="1:74" ht="15.4" customHeight="1" x14ac:dyDescent="0.25">
      <c r="A72" s="709" t="s">
        <v>703</v>
      </c>
      <c r="B72" s="655" t="str">
        <f>$C$11</f>
        <v>Ô tô thùng 7T</v>
      </c>
      <c r="C72" s="291" t="s">
        <v>766</v>
      </c>
      <c r="D72" s="291" t="s">
        <v>832</v>
      </c>
      <c r="E72" s="291" t="s">
        <v>660</v>
      </c>
      <c r="F72" s="496">
        <f t="shared" ref="F72:F74" si="19">E72*$F$70</f>
        <v>1.52E-2</v>
      </c>
      <c r="G72" s="655" t="str">
        <f t="shared" ref="G72:G74" si="20">$H$30</f>
        <v>cọc, cọc bê tông</v>
      </c>
      <c r="H72" s="742"/>
      <c r="I72" s="2"/>
      <c r="J72" s="2"/>
      <c r="K72" s="161"/>
      <c r="L72" s="2"/>
      <c r="M72" s="2"/>
      <c r="N72" s="2"/>
      <c r="O72" s="2"/>
      <c r="P72" s="2"/>
      <c r="Q72" s="2"/>
      <c r="R72" s="2"/>
      <c r="S72" s="2"/>
      <c r="T72" s="357"/>
      <c r="U72" s="357"/>
      <c r="V72" s="357"/>
      <c r="W72" s="357"/>
      <c r="X72" s="357"/>
      <c r="Y72" s="357"/>
      <c r="Z72" s="357"/>
      <c r="AA72" s="357"/>
      <c r="AB72" s="357"/>
      <c r="AC72" s="357"/>
      <c r="AD72" s="357"/>
      <c r="AE72" s="357"/>
      <c r="AF72" s="357"/>
      <c r="AG72" s="357"/>
      <c r="AH72" s="357"/>
      <c r="AI72" s="357"/>
      <c r="AJ72" s="357"/>
      <c r="AK72" s="357"/>
      <c r="AL72" s="357"/>
      <c r="AM72" s="357"/>
      <c r="AN72" s="357"/>
      <c r="AO72" s="357"/>
      <c r="AP72" s="357"/>
      <c r="AQ72" s="357"/>
      <c r="AR72" s="357"/>
      <c r="AS72" s="357"/>
      <c r="AT72" s="357"/>
      <c r="AU72" s="357"/>
      <c r="AV72" s="357"/>
      <c r="AW72" s="357"/>
      <c r="AX72" s="357"/>
      <c r="AY72" s="357"/>
      <c r="AZ72" s="357"/>
      <c r="BA72" s="357"/>
      <c r="BB72" s="357"/>
      <c r="BC72" s="357"/>
      <c r="BD72" s="357"/>
      <c r="BE72" s="357"/>
      <c r="BF72" s="357"/>
      <c r="BG72" s="357"/>
      <c r="BH72" s="357"/>
      <c r="BI72" s="357"/>
      <c r="BJ72" s="357"/>
      <c r="BK72" s="357"/>
      <c r="BL72" s="357"/>
      <c r="BM72" s="357"/>
      <c r="BN72" s="357"/>
      <c r="BO72" s="357"/>
      <c r="BP72" s="357"/>
      <c r="BQ72" s="357"/>
      <c r="BR72" s="357"/>
      <c r="BS72" s="357"/>
      <c r="BT72" s="357"/>
      <c r="BU72" s="357"/>
      <c r="BV72" s="357"/>
    </row>
    <row r="73" spans="1:74" ht="16.350000000000001" customHeight="1" x14ac:dyDescent="0.25">
      <c r="A73" s="80" t="s">
        <v>684</v>
      </c>
      <c r="B73" s="18" t="str">
        <f>$C$12</f>
        <v>Ô tô thùng 12T</v>
      </c>
      <c r="C73" s="599" t="s">
        <v>190</v>
      </c>
      <c r="D73" s="599" t="s">
        <v>1365</v>
      </c>
      <c r="E73" s="599" t="s">
        <v>1063</v>
      </c>
      <c r="F73" s="786">
        <f t="shared" si="19"/>
        <v>1.0449999999999999E-2</v>
      </c>
      <c r="G73" s="18" t="str">
        <f t="shared" si="20"/>
        <v>cọc, cọc bê tông</v>
      </c>
      <c r="H73" s="742"/>
      <c r="I73" s="2"/>
      <c r="J73" s="2"/>
      <c r="K73" s="161"/>
      <c r="L73" s="2"/>
      <c r="M73" s="2"/>
      <c r="N73" s="2"/>
      <c r="O73" s="2"/>
      <c r="P73" s="2"/>
      <c r="Q73" s="2"/>
      <c r="R73" s="2"/>
      <c r="S73" s="2"/>
      <c r="T73" s="357"/>
      <c r="U73" s="357"/>
      <c r="V73" s="357"/>
      <c r="W73" s="357"/>
      <c r="X73" s="357"/>
      <c r="Y73" s="357"/>
      <c r="Z73" s="357"/>
      <c r="AA73" s="357"/>
      <c r="AB73" s="357"/>
      <c r="AC73" s="357"/>
      <c r="AD73" s="357"/>
      <c r="AE73" s="357"/>
      <c r="AF73" s="357"/>
      <c r="AG73" s="357"/>
      <c r="AH73" s="357"/>
      <c r="AI73" s="357"/>
      <c r="AJ73" s="357"/>
      <c r="AK73" s="357"/>
      <c r="AL73" s="357"/>
      <c r="AM73" s="357"/>
      <c r="AN73" s="357"/>
      <c r="AO73" s="357"/>
      <c r="AP73" s="357"/>
      <c r="AQ73" s="357"/>
      <c r="AR73" s="357"/>
      <c r="AS73" s="357"/>
      <c r="AT73" s="357"/>
      <c r="AU73" s="357"/>
      <c r="AV73" s="357"/>
      <c r="AW73" s="357"/>
      <c r="AX73" s="357"/>
      <c r="AY73" s="357"/>
      <c r="AZ73" s="357"/>
      <c r="BA73" s="357"/>
      <c r="BB73" s="357"/>
      <c r="BC73" s="357"/>
      <c r="BD73" s="357"/>
      <c r="BE73" s="357"/>
      <c r="BF73" s="357"/>
      <c r="BG73" s="357"/>
      <c r="BH73" s="357"/>
      <c r="BI73" s="357"/>
      <c r="BJ73" s="357"/>
      <c r="BK73" s="357"/>
      <c r="BL73" s="357"/>
      <c r="BM73" s="357"/>
      <c r="BN73" s="357"/>
      <c r="BO73" s="357"/>
      <c r="BP73" s="357"/>
      <c r="BQ73" s="357"/>
      <c r="BR73" s="357"/>
      <c r="BS73" s="357"/>
      <c r="BT73" s="357"/>
      <c r="BU73" s="357"/>
      <c r="BV73" s="357"/>
    </row>
    <row r="74" spans="1:74" ht="15.75" x14ac:dyDescent="0.25">
      <c r="A74" s="657" t="s">
        <v>1101</v>
      </c>
      <c r="B74" s="593" t="str">
        <f>$C$13</f>
        <v>Ô tô thùng 20T</v>
      </c>
      <c r="C74" s="231" t="s">
        <v>245</v>
      </c>
      <c r="D74" s="231" t="s">
        <v>1057</v>
      </c>
      <c r="E74" s="231" t="s">
        <v>337</v>
      </c>
      <c r="F74" s="435">
        <f t="shared" si="19"/>
        <v>7.6E-3</v>
      </c>
      <c r="G74" s="593" t="str">
        <f t="shared" si="20"/>
        <v>cọc, cọc bê tông</v>
      </c>
      <c r="H74" s="742"/>
      <c r="I74" s="2"/>
      <c r="J74" s="2"/>
      <c r="K74" s="161"/>
      <c r="L74" s="688" t="s">
        <v>1078</v>
      </c>
      <c r="M74" s="688" t="s">
        <v>269</v>
      </c>
      <c r="N74" s="688" t="s">
        <v>474</v>
      </c>
      <c r="O74" s="812"/>
      <c r="P74" s="2"/>
      <c r="Q74" s="2"/>
      <c r="R74" s="2"/>
      <c r="S74" s="2"/>
      <c r="T74" s="357"/>
      <c r="U74" s="357"/>
      <c r="V74" s="357"/>
      <c r="W74" s="357"/>
      <c r="X74" s="357"/>
      <c r="Y74" s="357"/>
      <c r="Z74" s="357"/>
      <c r="AA74" s="357"/>
      <c r="AB74" s="357"/>
      <c r="AC74" s="357"/>
      <c r="AD74" s="357"/>
      <c r="AE74" s="357"/>
      <c r="AF74" s="357"/>
      <c r="AG74" s="357"/>
      <c r="AH74" s="357"/>
      <c r="AI74" s="357"/>
      <c r="AJ74" s="357"/>
      <c r="AK74" s="357"/>
      <c r="AL74" s="357"/>
      <c r="AM74" s="357"/>
      <c r="AN74" s="357"/>
      <c r="AO74" s="357"/>
      <c r="AP74" s="357"/>
      <c r="AQ74" s="357"/>
      <c r="AR74" s="357"/>
      <c r="AS74" s="357"/>
      <c r="AT74" s="357"/>
      <c r="AU74" s="357"/>
      <c r="AV74" s="357"/>
      <c r="AW74" s="357"/>
      <c r="AX74" s="357"/>
      <c r="AY74" s="357"/>
      <c r="AZ74" s="357"/>
      <c r="BA74" s="357"/>
      <c r="BB74" s="357"/>
      <c r="BC74" s="357"/>
      <c r="BD74" s="357"/>
      <c r="BE74" s="357"/>
      <c r="BF74" s="357"/>
      <c r="BG74" s="357"/>
      <c r="BH74" s="357"/>
      <c r="BI74" s="357"/>
      <c r="BJ74" s="357"/>
      <c r="BK74" s="357"/>
      <c r="BL74" s="357"/>
      <c r="BM74" s="357"/>
      <c r="BN74" s="357"/>
      <c r="BO74" s="357"/>
      <c r="BP74" s="357"/>
      <c r="BQ74" s="357"/>
      <c r="BR74" s="357"/>
      <c r="BS74" s="357"/>
      <c r="BT74" s="357"/>
      <c r="BU74" s="357"/>
      <c r="BV74" s="357"/>
    </row>
    <row r="75" spans="1:74" ht="15.75" x14ac:dyDescent="0.25">
      <c r="A75" s="2"/>
      <c r="B75" s="2"/>
      <c r="C75" s="2"/>
      <c r="D75" s="2"/>
      <c r="E75" s="2"/>
      <c r="F75" s="812"/>
      <c r="G75" s="2"/>
      <c r="H75" s="742"/>
      <c r="I75" s="2"/>
      <c r="J75" s="2"/>
      <c r="K75" s="161"/>
      <c r="L75" s="711" t="s">
        <v>1098</v>
      </c>
      <c r="M75" s="711"/>
      <c r="N75" s="711"/>
      <c r="O75" s="742"/>
      <c r="P75" s="2"/>
      <c r="Q75" s="2"/>
      <c r="R75" s="2"/>
      <c r="S75" s="2"/>
      <c r="T75" s="357"/>
      <c r="U75" s="357"/>
      <c r="V75" s="357"/>
      <c r="W75" s="357"/>
      <c r="X75" s="357"/>
      <c r="Y75" s="357"/>
      <c r="Z75" s="357"/>
      <c r="AA75" s="357"/>
      <c r="AB75" s="357"/>
      <c r="AC75" s="357"/>
      <c r="AD75" s="357"/>
      <c r="AE75" s="357"/>
      <c r="AF75" s="357"/>
      <c r="AG75" s="357"/>
      <c r="AH75" s="357"/>
      <c r="AI75" s="357"/>
      <c r="AJ75" s="357"/>
      <c r="AK75" s="357"/>
      <c r="AL75" s="357"/>
      <c r="AM75" s="357"/>
      <c r="AN75" s="357"/>
      <c r="AO75" s="357"/>
      <c r="AP75" s="357"/>
      <c r="AQ75" s="357"/>
      <c r="AR75" s="357"/>
      <c r="AS75" s="357"/>
      <c r="AT75" s="357"/>
      <c r="AU75" s="357"/>
      <c r="AV75" s="357"/>
      <c r="AW75" s="357"/>
      <c r="AX75" s="357"/>
      <c r="AY75" s="357"/>
      <c r="AZ75" s="357"/>
      <c r="BA75" s="357"/>
      <c r="BB75" s="357"/>
      <c r="BC75" s="357"/>
      <c r="BD75" s="357"/>
      <c r="BE75" s="357"/>
      <c r="BF75" s="357"/>
      <c r="BG75" s="357"/>
      <c r="BH75" s="357"/>
      <c r="BI75" s="357"/>
      <c r="BJ75" s="357"/>
      <c r="BK75" s="357"/>
      <c r="BL75" s="357"/>
      <c r="BM75" s="357"/>
      <c r="BN75" s="357"/>
      <c r="BO75" s="357"/>
      <c r="BP75" s="357"/>
      <c r="BQ75" s="357"/>
      <c r="BR75" s="357"/>
      <c r="BS75" s="357"/>
      <c r="BT75" s="357"/>
      <c r="BU75" s="357"/>
      <c r="BV75" s="357"/>
    </row>
    <row r="76" spans="1:74" ht="15.75" x14ac:dyDescent="0.25">
      <c r="A76" s="2"/>
      <c r="B76" s="2"/>
      <c r="C76" s="2"/>
      <c r="D76" s="2"/>
      <c r="E76" s="2"/>
      <c r="F76" s="812"/>
      <c r="G76" s="2"/>
      <c r="H76" s="2"/>
      <c r="I76" s="2"/>
      <c r="J76" s="2"/>
      <c r="K76" s="161"/>
      <c r="L76" s="18" t="s">
        <v>851</v>
      </c>
      <c r="M76" s="18">
        <v>0.14000000000000001</v>
      </c>
      <c r="N76" s="18"/>
      <c r="O76" s="742" t="s">
        <v>473</v>
      </c>
      <c r="P76" s="2"/>
      <c r="Q76" s="2"/>
      <c r="R76" s="2"/>
      <c r="S76" s="2"/>
      <c r="T76" s="357"/>
      <c r="U76" s="357"/>
      <c r="V76" s="357"/>
      <c r="W76" s="357"/>
      <c r="X76" s="357"/>
      <c r="Y76" s="357"/>
      <c r="Z76" s="357"/>
      <c r="AA76" s="357"/>
      <c r="AB76" s="357"/>
      <c r="AC76" s="357"/>
      <c r="AD76" s="357"/>
      <c r="AE76" s="357"/>
      <c r="AF76" s="357"/>
      <c r="AG76" s="357"/>
      <c r="AH76" s="357"/>
      <c r="AI76" s="357"/>
      <c r="AJ76" s="357"/>
      <c r="AK76" s="357"/>
      <c r="AL76" s="357"/>
      <c r="AM76" s="357"/>
      <c r="AN76" s="357"/>
      <c r="AO76" s="357"/>
      <c r="AP76" s="357"/>
      <c r="AQ76" s="357"/>
      <c r="AR76" s="357"/>
      <c r="AS76" s="357"/>
      <c r="AT76" s="357"/>
      <c r="AU76" s="357"/>
      <c r="AV76" s="357"/>
      <c r="AW76" s="357"/>
      <c r="AX76" s="357"/>
      <c r="AY76" s="357"/>
      <c r="AZ76" s="357"/>
      <c r="BA76" s="357"/>
      <c r="BB76" s="357"/>
      <c r="BC76" s="357"/>
      <c r="BD76" s="357"/>
      <c r="BE76" s="357"/>
      <c r="BF76" s="357"/>
      <c r="BG76" s="357"/>
      <c r="BH76" s="357"/>
      <c r="BI76" s="357"/>
      <c r="BJ76" s="357"/>
      <c r="BK76" s="357"/>
      <c r="BL76" s="357"/>
      <c r="BM76" s="357"/>
      <c r="BN76" s="357"/>
      <c r="BO76" s="357"/>
      <c r="BP76" s="357"/>
      <c r="BQ76" s="357"/>
      <c r="BR76" s="357"/>
      <c r="BS76" s="357"/>
      <c r="BT76" s="357"/>
      <c r="BU76" s="357"/>
      <c r="BV76" s="357"/>
    </row>
    <row r="77" spans="1:74" ht="15.75" x14ac:dyDescent="0.25">
      <c r="A77" s="2"/>
      <c r="B77" s="2"/>
      <c r="C77" s="2"/>
      <c r="D77" s="2"/>
      <c r="E77" s="2"/>
      <c r="F77" s="812"/>
      <c r="G77" s="2"/>
      <c r="H77" s="2"/>
      <c r="I77" s="2"/>
      <c r="J77" s="2"/>
      <c r="K77" s="161"/>
      <c r="L77" s="18" t="s">
        <v>837</v>
      </c>
      <c r="M77" s="18">
        <v>0.17</v>
      </c>
      <c r="N77" s="18"/>
      <c r="O77" s="742" t="s">
        <v>639</v>
      </c>
      <c r="P77" s="2"/>
      <c r="Q77" s="2"/>
      <c r="R77" s="2"/>
      <c r="S77" s="2"/>
      <c r="T77" s="357"/>
      <c r="U77" s="357"/>
      <c r="V77" s="357"/>
      <c r="W77" s="357"/>
      <c r="X77" s="357"/>
      <c r="Y77" s="357"/>
      <c r="Z77" s="357"/>
      <c r="AA77" s="357"/>
      <c r="AB77" s="357"/>
      <c r="AC77" s="357"/>
      <c r="AD77" s="357"/>
      <c r="AE77" s="357"/>
      <c r="AF77" s="357"/>
      <c r="AG77" s="357"/>
      <c r="AH77" s="357"/>
      <c r="AI77" s="357"/>
      <c r="AJ77" s="357"/>
      <c r="AK77" s="357"/>
      <c r="AL77" s="357"/>
      <c r="AM77" s="357"/>
      <c r="AN77" s="357"/>
      <c r="AO77" s="357"/>
      <c r="AP77" s="357"/>
      <c r="AQ77" s="357"/>
      <c r="AR77" s="357"/>
      <c r="AS77" s="357"/>
      <c r="AT77" s="357"/>
      <c r="AU77" s="357"/>
      <c r="AV77" s="357"/>
      <c r="AW77" s="357"/>
      <c r="AX77" s="357"/>
      <c r="AY77" s="357"/>
      <c r="AZ77" s="357"/>
      <c r="BA77" s="357"/>
      <c r="BB77" s="357"/>
      <c r="BC77" s="357"/>
      <c r="BD77" s="357"/>
      <c r="BE77" s="357"/>
      <c r="BF77" s="357"/>
      <c r="BG77" s="357"/>
      <c r="BH77" s="357"/>
      <c r="BI77" s="357"/>
      <c r="BJ77" s="357"/>
      <c r="BK77" s="357"/>
      <c r="BL77" s="357"/>
      <c r="BM77" s="357"/>
      <c r="BN77" s="357"/>
      <c r="BO77" s="357"/>
      <c r="BP77" s="357"/>
      <c r="BQ77" s="357"/>
      <c r="BR77" s="357"/>
      <c r="BS77" s="357"/>
      <c r="BT77" s="357"/>
      <c r="BU77" s="357"/>
      <c r="BV77" s="357"/>
    </row>
    <row r="78" spans="1:74" ht="15.75" x14ac:dyDescent="0.25">
      <c r="A78" s="2"/>
      <c r="B78" s="2"/>
      <c r="C78" s="2"/>
      <c r="D78" s="2"/>
      <c r="E78" s="2"/>
      <c r="F78" s="812"/>
      <c r="G78" s="2"/>
      <c r="H78" s="2"/>
      <c r="I78" s="2"/>
      <c r="J78" s="2"/>
      <c r="K78" s="161"/>
      <c r="L78" s="18" t="s">
        <v>859</v>
      </c>
      <c r="M78" s="18">
        <v>0.24</v>
      </c>
      <c r="N78" s="18"/>
      <c r="O78" s="742" t="s">
        <v>1224</v>
      </c>
      <c r="P78" s="2"/>
      <c r="Q78" s="2"/>
      <c r="R78" s="2"/>
      <c r="S78" s="2"/>
      <c r="T78" s="357"/>
      <c r="U78" s="357"/>
      <c r="V78" s="357"/>
      <c r="W78" s="357"/>
      <c r="X78" s="357"/>
      <c r="Y78" s="357"/>
      <c r="Z78" s="357"/>
      <c r="AA78" s="357"/>
      <c r="AB78" s="357"/>
      <c r="AC78" s="357"/>
      <c r="AD78" s="357"/>
      <c r="AE78" s="357"/>
      <c r="AF78" s="357"/>
      <c r="AG78" s="357"/>
      <c r="AH78" s="357"/>
      <c r="AI78" s="357"/>
      <c r="AJ78" s="357"/>
      <c r="AK78" s="357"/>
      <c r="AL78" s="357"/>
      <c r="AM78" s="357"/>
      <c r="AN78" s="357"/>
      <c r="AO78" s="357"/>
      <c r="AP78" s="357"/>
      <c r="AQ78" s="357"/>
      <c r="AR78" s="357"/>
      <c r="AS78" s="357"/>
      <c r="AT78" s="357"/>
      <c r="AU78" s="357"/>
      <c r="AV78" s="357"/>
      <c r="AW78" s="357"/>
      <c r="AX78" s="357"/>
      <c r="AY78" s="357"/>
      <c r="AZ78" s="357"/>
      <c r="BA78" s="357"/>
      <c r="BB78" s="357"/>
      <c r="BC78" s="357"/>
      <c r="BD78" s="357"/>
      <c r="BE78" s="357"/>
      <c r="BF78" s="357"/>
      <c r="BG78" s="357"/>
      <c r="BH78" s="357"/>
      <c r="BI78" s="357"/>
      <c r="BJ78" s="357"/>
      <c r="BK78" s="357"/>
      <c r="BL78" s="357"/>
      <c r="BM78" s="357"/>
      <c r="BN78" s="357"/>
      <c r="BO78" s="357"/>
      <c r="BP78" s="357"/>
      <c r="BQ78" s="357"/>
      <c r="BR78" s="357"/>
      <c r="BS78" s="357"/>
      <c r="BT78" s="357"/>
      <c r="BU78" s="357"/>
      <c r="BV78" s="357"/>
    </row>
    <row r="79" spans="1:74" ht="15.75" x14ac:dyDescent="0.25">
      <c r="A79" s="2"/>
      <c r="B79" s="2"/>
      <c r="C79" s="2"/>
      <c r="D79" s="2"/>
      <c r="E79" s="2"/>
      <c r="F79" s="812"/>
      <c r="G79" s="2"/>
      <c r="H79" s="2"/>
      <c r="I79" s="2"/>
      <c r="J79" s="2"/>
      <c r="K79" s="161"/>
      <c r="L79" s="18" t="s">
        <v>1123</v>
      </c>
      <c r="M79" s="18">
        <v>0.33</v>
      </c>
      <c r="N79" s="18"/>
      <c r="O79" s="742" t="s">
        <v>1304</v>
      </c>
      <c r="P79" s="2"/>
      <c r="Q79" s="2"/>
      <c r="R79" s="2"/>
      <c r="S79" s="2"/>
      <c r="T79" s="357"/>
      <c r="U79" s="357"/>
      <c r="V79" s="357"/>
      <c r="W79" s="357"/>
      <c r="X79" s="357"/>
      <c r="Y79" s="357"/>
      <c r="Z79" s="357"/>
      <c r="AA79" s="357"/>
      <c r="AB79" s="357"/>
      <c r="AC79" s="357"/>
      <c r="AD79" s="357"/>
      <c r="AE79" s="357"/>
      <c r="AF79" s="357"/>
      <c r="AG79" s="357"/>
      <c r="AH79" s="357"/>
      <c r="AI79" s="357"/>
      <c r="AJ79" s="357"/>
      <c r="AK79" s="357"/>
      <c r="AL79" s="357"/>
      <c r="AM79" s="357"/>
      <c r="AN79" s="357"/>
      <c r="AO79" s="357"/>
      <c r="AP79" s="357"/>
      <c r="AQ79" s="357"/>
      <c r="AR79" s="357"/>
      <c r="AS79" s="357"/>
      <c r="AT79" s="357"/>
      <c r="AU79" s="357"/>
      <c r="AV79" s="357"/>
      <c r="AW79" s="357"/>
      <c r="AX79" s="357"/>
      <c r="AY79" s="357"/>
      <c r="AZ79" s="357"/>
      <c r="BA79" s="357"/>
      <c r="BB79" s="357"/>
      <c r="BC79" s="357"/>
      <c r="BD79" s="357"/>
      <c r="BE79" s="357"/>
      <c r="BF79" s="357"/>
      <c r="BG79" s="357"/>
      <c r="BH79" s="357"/>
      <c r="BI79" s="357"/>
      <c r="BJ79" s="357"/>
      <c r="BK79" s="357"/>
      <c r="BL79" s="357"/>
      <c r="BM79" s="357"/>
      <c r="BN79" s="357"/>
      <c r="BO79" s="357"/>
      <c r="BP79" s="357"/>
      <c r="BQ79" s="357"/>
      <c r="BR79" s="357"/>
      <c r="BS79" s="357"/>
      <c r="BT79" s="357"/>
      <c r="BU79" s="357"/>
      <c r="BV79" s="357"/>
    </row>
    <row r="80" spans="1:74" ht="15.75" x14ac:dyDescent="0.25">
      <c r="A80" s="2"/>
      <c r="B80" s="2"/>
      <c r="C80" s="2"/>
      <c r="D80" s="2"/>
      <c r="E80" s="2"/>
      <c r="F80" s="812"/>
      <c r="G80" s="2"/>
      <c r="H80" s="2"/>
      <c r="I80" s="2"/>
      <c r="J80" s="2"/>
      <c r="K80" s="161"/>
      <c r="L80" s="18" t="s">
        <v>1229</v>
      </c>
      <c r="M80" s="18">
        <v>3.4000000000000002E-4</v>
      </c>
      <c r="N80" s="18">
        <v>3.1E-4</v>
      </c>
      <c r="O80" s="742" t="s">
        <v>343</v>
      </c>
      <c r="P80" s="2"/>
      <c r="Q80" s="2"/>
      <c r="R80" s="2"/>
      <c r="S80" s="2"/>
      <c r="T80" s="357"/>
      <c r="U80" s="357"/>
      <c r="V80" s="357"/>
      <c r="W80" s="357"/>
      <c r="X80" s="357"/>
      <c r="Y80" s="357"/>
      <c r="Z80" s="357"/>
      <c r="AA80" s="357"/>
      <c r="AB80" s="357"/>
      <c r="AC80" s="357"/>
      <c r="AD80" s="357"/>
      <c r="AE80" s="357"/>
      <c r="AF80" s="357"/>
      <c r="AG80" s="357"/>
      <c r="AH80" s="357"/>
      <c r="AI80" s="357"/>
      <c r="AJ80" s="357"/>
      <c r="AK80" s="357"/>
      <c r="AL80" s="357"/>
      <c r="AM80" s="357"/>
      <c r="AN80" s="357"/>
      <c r="AO80" s="357"/>
      <c r="AP80" s="357"/>
      <c r="AQ80" s="357"/>
      <c r="AR80" s="357"/>
      <c r="AS80" s="357"/>
      <c r="AT80" s="357"/>
      <c r="AU80" s="357"/>
      <c r="AV80" s="357"/>
      <c r="AW80" s="357"/>
      <c r="AX80" s="357"/>
      <c r="AY80" s="357"/>
      <c r="AZ80" s="357"/>
      <c r="BA80" s="357"/>
      <c r="BB80" s="357"/>
      <c r="BC80" s="357"/>
      <c r="BD80" s="357"/>
      <c r="BE80" s="357"/>
      <c r="BF80" s="357"/>
      <c r="BG80" s="357"/>
      <c r="BH80" s="357"/>
      <c r="BI80" s="357"/>
      <c r="BJ80" s="357"/>
      <c r="BK80" s="357"/>
      <c r="BL80" s="357"/>
      <c r="BM80" s="357"/>
      <c r="BN80" s="357"/>
      <c r="BO80" s="357"/>
      <c r="BP80" s="357"/>
      <c r="BQ80" s="357"/>
      <c r="BR80" s="357"/>
      <c r="BS80" s="357"/>
      <c r="BT80" s="357"/>
      <c r="BU80" s="357"/>
      <c r="BV80" s="357"/>
    </row>
    <row r="81" spans="1:74" ht="15.75" x14ac:dyDescent="0.25">
      <c r="A81" s="2"/>
      <c r="B81" s="2"/>
      <c r="C81" s="2"/>
      <c r="D81" s="2"/>
      <c r="E81" s="2"/>
      <c r="F81" s="812"/>
      <c r="G81" s="2"/>
      <c r="H81" s="2"/>
      <c r="I81" s="2"/>
      <c r="J81" s="2"/>
      <c r="K81" s="161"/>
      <c r="L81" s="18" t="s">
        <v>824</v>
      </c>
      <c r="M81" s="18">
        <v>2.0000000000000001E-4</v>
      </c>
      <c r="N81" s="18">
        <v>1.9000000000000001E-4</v>
      </c>
      <c r="O81" s="742" t="s">
        <v>1241</v>
      </c>
      <c r="P81" s="2"/>
      <c r="Q81" s="2"/>
      <c r="R81" s="2"/>
      <c r="S81" s="2"/>
      <c r="T81" s="357"/>
      <c r="U81" s="357"/>
      <c r="V81" s="357"/>
      <c r="W81" s="357"/>
      <c r="X81" s="357"/>
      <c r="Y81" s="357"/>
      <c r="Z81" s="357"/>
      <c r="AA81" s="357"/>
      <c r="AB81" s="357"/>
      <c r="AC81" s="357"/>
      <c r="AD81" s="357"/>
      <c r="AE81" s="357"/>
      <c r="AF81" s="357"/>
      <c r="AG81" s="357"/>
      <c r="AH81" s="357"/>
      <c r="AI81" s="357"/>
      <c r="AJ81" s="357"/>
      <c r="AK81" s="357"/>
      <c r="AL81" s="357"/>
      <c r="AM81" s="357"/>
      <c r="AN81" s="357"/>
      <c r="AO81" s="357"/>
      <c r="AP81" s="357"/>
      <c r="AQ81" s="357"/>
      <c r="AR81" s="357"/>
      <c r="AS81" s="357"/>
      <c r="AT81" s="357"/>
      <c r="AU81" s="357"/>
      <c r="AV81" s="357"/>
      <c r="AW81" s="357"/>
      <c r="AX81" s="357"/>
      <c r="AY81" s="357"/>
      <c r="AZ81" s="357"/>
      <c r="BA81" s="357"/>
      <c r="BB81" s="357"/>
      <c r="BC81" s="357"/>
      <c r="BD81" s="357"/>
      <c r="BE81" s="357"/>
      <c r="BF81" s="357"/>
      <c r="BG81" s="357"/>
      <c r="BH81" s="357"/>
      <c r="BI81" s="357"/>
      <c r="BJ81" s="357"/>
      <c r="BK81" s="357"/>
      <c r="BL81" s="357"/>
      <c r="BM81" s="357"/>
      <c r="BN81" s="357"/>
      <c r="BO81" s="357"/>
      <c r="BP81" s="357"/>
      <c r="BQ81" s="357"/>
      <c r="BR81" s="357"/>
      <c r="BS81" s="357"/>
      <c r="BT81" s="357"/>
      <c r="BU81" s="357"/>
      <c r="BV81" s="357"/>
    </row>
    <row r="82" spans="1:74" ht="15.75" x14ac:dyDescent="0.25">
      <c r="A82" s="2"/>
      <c r="B82" s="2"/>
      <c r="C82" s="2"/>
      <c r="D82" s="2"/>
      <c r="E82" s="2"/>
      <c r="F82" s="812"/>
      <c r="G82" s="2"/>
      <c r="H82" s="2"/>
      <c r="I82" s="2"/>
      <c r="J82" s="2"/>
      <c r="K82" s="161"/>
      <c r="L82" s="18" t="s">
        <v>1254</v>
      </c>
      <c r="M82" s="18">
        <v>3.8000000000000002E-4</v>
      </c>
      <c r="N82" s="18">
        <v>3.8000000000000002E-4</v>
      </c>
      <c r="O82" s="742" t="s">
        <v>1267</v>
      </c>
      <c r="P82" s="2"/>
      <c r="Q82" s="2"/>
      <c r="R82" s="2"/>
      <c r="S82" s="2"/>
      <c r="T82" s="357"/>
      <c r="U82" s="357"/>
      <c r="V82" s="357"/>
      <c r="W82" s="357"/>
      <c r="X82" s="357"/>
      <c r="Y82" s="357"/>
      <c r="Z82" s="357"/>
      <c r="AA82" s="357"/>
      <c r="AB82" s="357"/>
      <c r="AC82" s="357"/>
      <c r="AD82" s="357"/>
      <c r="AE82" s="357"/>
      <c r="AF82" s="357"/>
      <c r="AG82" s="357"/>
      <c r="AH82" s="357"/>
      <c r="AI82" s="357"/>
      <c r="AJ82" s="357"/>
      <c r="AK82" s="357"/>
      <c r="AL82" s="357"/>
      <c r="AM82" s="357"/>
      <c r="AN82" s="357"/>
      <c r="AO82" s="357"/>
      <c r="AP82" s="357"/>
      <c r="AQ82" s="357"/>
      <c r="AR82" s="357"/>
      <c r="AS82" s="357"/>
      <c r="AT82" s="357"/>
      <c r="AU82" s="357"/>
      <c r="AV82" s="357"/>
      <c r="AW82" s="357"/>
      <c r="AX82" s="357"/>
      <c r="AY82" s="357"/>
      <c r="AZ82" s="357"/>
      <c r="BA82" s="357"/>
      <c r="BB82" s="357"/>
      <c r="BC82" s="357"/>
      <c r="BD82" s="357"/>
      <c r="BE82" s="357"/>
      <c r="BF82" s="357"/>
      <c r="BG82" s="357"/>
      <c r="BH82" s="357"/>
      <c r="BI82" s="357"/>
      <c r="BJ82" s="357"/>
      <c r="BK82" s="357"/>
      <c r="BL82" s="357"/>
      <c r="BM82" s="357"/>
      <c r="BN82" s="357"/>
      <c r="BO82" s="357"/>
      <c r="BP82" s="357"/>
      <c r="BQ82" s="357"/>
      <c r="BR82" s="357"/>
      <c r="BS82" s="357"/>
      <c r="BT82" s="357"/>
      <c r="BU82" s="357"/>
      <c r="BV82" s="357"/>
    </row>
    <row r="83" spans="1:74" ht="15.75" x14ac:dyDescent="0.25">
      <c r="A83" s="2"/>
      <c r="B83" s="2"/>
      <c r="C83" s="2"/>
      <c r="D83" s="2"/>
      <c r="E83" s="2"/>
      <c r="F83" s="812"/>
      <c r="G83" s="2"/>
      <c r="H83" s="2"/>
      <c r="I83" s="2"/>
      <c r="J83" s="2"/>
      <c r="K83" s="161"/>
      <c r="L83" s="18" t="s">
        <v>940</v>
      </c>
      <c r="M83" s="18">
        <v>1.4999999999999999E-4</v>
      </c>
      <c r="N83" s="18">
        <v>1.1E-4</v>
      </c>
      <c r="O83" s="742" t="s">
        <v>363</v>
      </c>
      <c r="P83" s="2"/>
      <c r="Q83" s="2"/>
      <c r="R83" s="2"/>
      <c r="S83" s="2"/>
      <c r="T83" s="357"/>
      <c r="U83" s="357"/>
      <c r="V83" s="357"/>
      <c r="W83" s="357"/>
      <c r="X83" s="357"/>
      <c r="Y83" s="357"/>
      <c r="Z83" s="357"/>
      <c r="AA83" s="357"/>
      <c r="AB83" s="357"/>
      <c r="AC83" s="357"/>
      <c r="AD83" s="357"/>
      <c r="AE83" s="357"/>
      <c r="AF83" s="357"/>
      <c r="AG83" s="357"/>
      <c r="AH83" s="357"/>
      <c r="AI83" s="357"/>
      <c r="AJ83" s="357"/>
      <c r="AK83" s="357"/>
      <c r="AL83" s="357"/>
      <c r="AM83" s="357"/>
      <c r="AN83" s="357"/>
      <c r="AO83" s="357"/>
      <c r="AP83" s="357"/>
      <c r="AQ83" s="357"/>
      <c r="AR83" s="357"/>
      <c r="AS83" s="357"/>
      <c r="AT83" s="357"/>
      <c r="AU83" s="357"/>
      <c r="AV83" s="357"/>
      <c r="AW83" s="357"/>
      <c r="AX83" s="357"/>
      <c r="AY83" s="357"/>
      <c r="AZ83" s="357"/>
      <c r="BA83" s="357"/>
      <c r="BB83" s="357"/>
      <c r="BC83" s="357"/>
      <c r="BD83" s="357"/>
      <c r="BE83" s="357"/>
      <c r="BF83" s="357"/>
      <c r="BG83" s="357"/>
      <c r="BH83" s="357"/>
      <c r="BI83" s="357"/>
      <c r="BJ83" s="357"/>
      <c r="BK83" s="357"/>
      <c r="BL83" s="357"/>
      <c r="BM83" s="357"/>
      <c r="BN83" s="357"/>
      <c r="BO83" s="357"/>
      <c r="BP83" s="357"/>
      <c r="BQ83" s="357"/>
      <c r="BR83" s="357"/>
      <c r="BS83" s="357"/>
      <c r="BT83" s="357"/>
      <c r="BU83" s="357"/>
      <c r="BV83" s="357"/>
    </row>
    <row r="84" spans="1:74" ht="15.75" x14ac:dyDescent="0.25">
      <c r="A84" s="2"/>
      <c r="B84" s="2"/>
      <c r="C84" s="2"/>
      <c r="D84" s="2"/>
      <c r="E84" s="2"/>
      <c r="F84" s="812"/>
      <c r="G84" s="2"/>
      <c r="H84" s="2"/>
      <c r="I84" s="2"/>
      <c r="J84" s="2"/>
      <c r="K84" s="161"/>
      <c r="L84" s="18" t="s">
        <v>594</v>
      </c>
      <c r="M84" s="18">
        <v>0.14000000000000001</v>
      </c>
      <c r="N84" s="18">
        <v>0.09</v>
      </c>
      <c r="O84" s="742" t="s">
        <v>66</v>
      </c>
      <c r="P84" s="2"/>
      <c r="Q84" s="2"/>
      <c r="R84" s="2"/>
      <c r="S84" s="2"/>
      <c r="T84" s="357"/>
      <c r="U84" s="357"/>
      <c r="V84" s="357"/>
      <c r="W84" s="357"/>
      <c r="X84" s="357"/>
      <c r="Y84" s="357"/>
      <c r="Z84" s="357"/>
      <c r="AA84" s="357"/>
      <c r="AB84" s="357"/>
      <c r="AC84" s="357"/>
      <c r="AD84" s="357"/>
      <c r="AE84" s="357"/>
      <c r="AF84" s="357"/>
      <c r="AG84" s="357"/>
      <c r="AH84" s="357"/>
      <c r="AI84" s="357"/>
      <c r="AJ84" s="357"/>
      <c r="AK84" s="357"/>
      <c r="AL84" s="357"/>
      <c r="AM84" s="357"/>
      <c r="AN84" s="357"/>
      <c r="AO84" s="357"/>
      <c r="AP84" s="357"/>
      <c r="AQ84" s="357"/>
      <c r="AR84" s="357"/>
      <c r="AS84" s="357"/>
      <c r="AT84" s="357"/>
      <c r="AU84" s="357"/>
      <c r="AV84" s="357"/>
      <c r="AW84" s="357"/>
      <c r="AX84" s="357"/>
      <c r="AY84" s="357"/>
      <c r="AZ84" s="357"/>
      <c r="BA84" s="357"/>
      <c r="BB84" s="357"/>
      <c r="BC84" s="357"/>
      <c r="BD84" s="357"/>
      <c r="BE84" s="357"/>
      <c r="BF84" s="357"/>
      <c r="BG84" s="357"/>
      <c r="BH84" s="357"/>
      <c r="BI84" s="357"/>
      <c r="BJ84" s="357"/>
      <c r="BK84" s="357"/>
      <c r="BL84" s="357"/>
      <c r="BM84" s="357"/>
      <c r="BN84" s="357"/>
      <c r="BO84" s="357"/>
      <c r="BP84" s="357"/>
      <c r="BQ84" s="357"/>
      <c r="BR84" s="357"/>
      <c r="BS84" s="357"/>
      <c r="BT84" s="357"/>
      <c r="BU84" s="357"/>
      <c r="BV84" s="357"/>
    </row>
    <row r="85" spans="1:74" ht="15.75" x14ac:dyDescent="0.25">
      <c r="A85" s="2"/>
      <c r="B85" s="2"/>
      <c r="C85" s="2"/>
      <c r="D85" s="2"/>
      <c r="E85" s="2"/>
      <c r="F85" s="812"/>
      <c r="G85" s="2"/>
      <c r="H85" s="2"/>
      <c r="I85" s="2"/>
      <c r="J85" s="2"/>
      <c r="K85" s="161"/>
      <c r="L85" s="18" t="s">
        <v>1259</v>
      </c>
      <c r="M85" s="18">
        <v>8.7000000000000001E-4</v>
      </c>
      <c r="N85" s="18">
        <v>5.5999999999999995E-4</v>
      </c>
      <c r="O85" s="742" t="s">
        <v>1439</v>
      </c>
      <c r="P85" s="2"/>
      <c r="Q85" s="2"/>
      <c r="R85" s="2"/>
      <c r="S85" s="2"/>
      <c r="T85" s="357"/>
      <c r="U85" s="357"/>
      <c r="V85" s="357"/>
      <c r="W85" s="357"/>
      <c r="X85" s="357"/>
      <c r="Y85" s="357"/>
      <c r="Z85" s="357"/>
      <c r="AA85" s="357"/>
      <c r="AB85" s="357"/>
      <c r="AC85" s="357"/>
      <c r="AD85" s="357"/>
      <c r="AE85" s="357"/>
      <c r="AF85" s="357"/>
      <c r="AG85" s="357"/>
      <c r="AH85" s="357"/>
      <c r="AI85" s="357"/>
      <c r="AJ85" s="357"/>
      <c r="AK85" s="357"/>
      <c r="AL85" s="357"/>
      <c r="AM85" s="357"/>
      <c r="AN85" s="357"/>
      <c r="AO85" s="357"/>
      <c r="AP85" s="357"/>
      <c r="AQ85" s="357"/>
      <c r="AR85" s="357"/>
      <c r="AS85" s="357"/>
      <c r="AT85" s="357"/>
      <c r="AU85" s="357"/>
      <c r="AV85" s="357"/>
      <c r="AW85" s="357"/>
      <c r="AX85" s="357"/>
      <c r="AY85" s="357"/>
      <c r="AZ85" s="357"/>
      <c r="BA85" s="357"/>
      <c r="BB85" s="357"/>
      <c r="BC85" s="357"/>
      <c r="BD85" s="357"/>
      <c r="BE85" s="357"/>
      <c r="BF85" s="357"/>
      <c r="BG85" s="357"/>
      <c r="BH85" s="357"/>
      <c r="BI85" s="357"/>
      <c r="BJ85" s="357"/>
      <c r="BK85" s="357"/>
      <c r="BL85" s="357"/>
      <c r="BM85" s="357"/>
      <c r="BN85" s="357"/>
      <c r="BO85" s="357"/>
      <c r="BP85" s="357"/>
      <c r="BQ85" s="357"/>
      <c r="BR85" s="357"/>
      <c r="BS85" s="357"/>
      <c r="BT85" s="357"/>
      <c r="BU85" s="357"/>
      <c r="BV85" s="357"/>
    </row>
    <row r="86" spans="1:74" ht="15.75" x14ac:dyDescent="0.25">
      <c r="A86" s="2"/>
      <c r="B86" s="2"/>
      <c r="C86" s="2"/>
      <c r="D86" s="2"/>
      <c r="E86" s="2"/>
      <c r="F86" s="812"/>
      <c r="G86" s="2"/>
      <c r="H86" s="2"/>
      <c r="I86" s="2"/>
      <c r="J86" s="2"/>
      <c r="K86" s="161"/>
      <c r="L86" s="18" t="s">
        <v>1221</v>
      </c>
      <c r="M86" s="18">
        <v>7.4999999999999997E-3</v>
      </c>
      <c r="N86" s="18">
        <v>4.7000000000000002E-3</v>
      </c>
      <c r="O86" s="742"/>
      <c r="P86" s="2"/>
      <c r="Q86" s="2"/>
      <c r="R86" s="2"/>
      <c r="S86" s="2"/>
      <c r="T86" s="357"/>
      <c r="U86" s="357"/>
      <c r="V86" s="357"/>
      <c r="W86" s="357"/>
      <c r="X86" s="357"/>
      <c r="Y86" s="357"/>
      <c r="Z86" s="357"/>
      <c r="AA86" s="357"/>
      <c r="AB86" s="357"/>
      <c r="AC86" s="357"/>
      <c r="AD86" s="357"/>
      <c r="AE86" s="357"/>
      <c r="AF86" s="357"/>
      <c r="AG86" s="357"/>
      <c r="AH86" s="357"/>
      <c r="AI86" s="357"/>
      <c r="AJ86" s="357"/>
      <c r="AK86" s="357"/>
      <c r="AL86" s="357"/>
      <c r="AM86" s="357"/>
      <c r="AN86" s="357"/>
      <c r="AO86" s="357"/>
      <c r="AP86" s="357"/>
      <c r="AQ86" s="357"/>
      <c r="AR86" s="357"/>
      <c r="AS86" s="357"/>
      <c r="AT86" s="357"/>
      <c r="AU86" s="357"/>
      <c r="AV86" s="357"/>
      <c r="AW86" s="357"/>
      <c r="AX86" s="357"/>
      <c r="AY86" s="357"/>
      <c r="AZ86" s="357"/>
      <c r="BA86" s="357"/>
      <c r="BB86" s="357"/>
      <c r="BC86" s="357"/>
      <c r="BD86" s="357"/>
      <c r="BE86" s="357"/>
      <c r="BF86" s="357"/>
      <c r="BG86" s="357"/>
      <c r="BH86" s="357"/>
      <c r="BI86" s="357"/>
      <c r="BJ86" s="357"/>
      <c r="BK86" s="357"/>
      <c r="BL86" s="357"/>
      <c r="BM86" s="357"/>
      <c r="BN86" s="357"/>
      <c r="BO86" s="357"/>
      <c r="BP86" s="357"/>
      <c r="BQ86" s="357"/>
      <c r="BR86" s="357"/>
      <c r="BS86" s="357"/>
      <c r="BT86" s="357"/>
      <c r="BU86" s="357"/>
      <c r="BV86" s="357"/>
    </row>
    <row r="87" spans="1:74" ht="15.75" x14ac:dyDescent="0.25">
      <c r="A87" s="2"/>
      <c r="B87" s="2"/>
      <c r="C87" s="2"/>
      <c r="D87" s="2"/>
      <c r="E87" s="2"/>
      <c r="F87" s="812"/>
      <c r="G87" s="2"/>
      <c r="H87" s="2"/>
      <c r="I87" s="2"/>
      <c r="J87" s="2"/>
      <c r="K87" s="161"/>
      <c r="L87" s="593" t="s">
        <v>596</v>
      </c>
      <c r="M87" s="593">
        <v>3.4000000000000002E-4</v>
      </c>
      <c r="N87" s="593">
        <v>2.1000000000000001E-4</v>
      </c>
      <c r="O87" s="742" t="s">
        <v>625</v>
      </c>
      <c r="P87" s="2"/>
      <c r="Q87" s="2"/>
      <c r="R87" s="2"/>
      <c r="S87" s="2"/>
      <c r="T87" s="357"/>
      <c r="U87" s="357"/>
      <c r="V87" s="357"/>
      <c r="W87" s="357"/>
      <c r="X87" s="357"/>
      <c r="Y87" s="357"/>
      <c r="Z87" s="357"/>
      <c r="AA87" s="357"/>
      <c r="AB87" s="357"/>
      <c r="AC87" s="357"/>
      <c r="AD87" s="357"/>
      <c r="AE87" s="357"/>
      <c r="AF87" s="357"/>
      <c r="AG87" s="357"/>
      <c r="AH87" s="357"/>
      <c r="AI87" s="357"/>
      <c r="AJ87" s="357"/>
      <c r="AK87" s="357"/>
      <c r="AL87" s="357"/>
      <c r="AM87" s="357"/>
      <c r="AN87" s="357"/>
      <c r="AO87" s="357"/>
      <c r="AP87" s="357"/>
      <c r="AQ87" s="357"/>
      <c r="AR87" s="357"/>
      <c r="AS87" s="357"/>
      <c r="AT87" s="357"/>
      <c r="AU87" s="357"/>
      <c r="AV87" s="357"/>
      <c r="AW87" s="357"/>
      <c r="AX87" s="357"/>
      <c r="AY87" s="357"/>
      <c r="AZ87" s="357"/>
      <c r="BA87" s="357"/>
      <c r="BB87" s="357"/>
      <c r="BC87" s="357"/>
      <c r="BD87" s="357"/>
      <c r="BE87" s="357"/>
      <c r="BF87" s="357"/>
      <c r="BG87" s="357"/>
      <c r="BH87" s="357"/>
      <c r="BI87" s="357"/>
      <c r="BJ87" s="357"/>
      <c r="BK87" s="357"/>
      <c r="BL87" s="357"/>
      <c r="BM87" s="357"/>
      <c r="BN87" s="357"/>
      <c r="BO87" s="357"/>
      <c r="BP87" s="357"/>
      <c r="BQ87" s="357"/>
      <c r="BR87" s="357"/>
      <c r="BS87" s="357"/>
      <c r="BT87" s="357"/>
      <c r="BU87" s="357"/>
      <c r="BV87" s="357"/>
    </row>
    <row r="88" spans="1:74" ht="15.75" x14ac:dyDescent="0.25">
      <c r="A88" s="2"/>
      <c r="B88" s="2"/>
      <c r="C88" s="2"/>
      <c r="D88" s="2"/>
      <c r="E88" s="2"/>
      <c r="F88" s="812"/>
      <c r="G88" s="2"/>
      <c r="H88" s="2"/>
      <c r="I88" s="2"/>
      <c r="J88" s="2"/>
      <c r="K88" s="161"/>
      <c r="L88" s="2"/>
      <c r="M88" s="2"/>
      <c r="N88" s="2"/>
      <c r="O88" s="742"/>
      <c r="P88" s="2"/>
      <c r="Q88" s="2"/>
      <c r="R88" s="2"/>
      <c r="S88" s="2"/>
      <c r="T88" s="357"/>
      <c r="U88" s="357"/>
      <c r="V88" s="357"/>
      <c r="W88" s="357"/>
      <c r="X88" s="357"/>
      <c r="Y88" s="357"/>
      <c r="Z88" s="357"/>
      <c r="AA88" s="357"/>
      <c r="AB88" s="357"/>
      <c r="AC88" s="357"/>
      <c r="AD88" s="357"/>
      <c r="AE88" s="357"/>
      <c r="AF88" s="357"/>
      <c r="AG88" s="357"/>
      <c r="AH88" s="357"/>
      <c r="AI88" s="357"/>
      <c r="AJ88" s="357"/>
      <c r="AK88" s="357"/>
      <c r="AL88" s="357"/>
      <c r="AM88" s="357"/>
      <c r="AN88" s="357"/>
      <c r="AO88" s="357"/>
      <c r="AP88" s="357"/>
      <c r="AQ88" s="357"/>
      <c r="AR88" s="357"/>
      <c r="AS88" s="357"/>
      <c r="AT88" s="357"/>
      <c r="AU88" s="357"/>
      <c r="AV88" s="357"/>
      <c r="AW88" s="357"/>
      <c r="AX88" s="357"/>
      <c r="AY88" s="357"/>
      <c r="AZ88" s="357"/>
      <c r="BA88" s="357"/>
      <c r="BB88" s="357"/>
      <c r="BC88" s="357"/>
      <c r="BD88" s="357"/>
      <c r="BE88" s="357"/>
      <c r="BF88" s="357"/>
      <c r="BG88" s="357"/>
      <c r="BH88" s="357"/>
      <c r="BI88" s="357"/>
      <c r="BJ88" s="357"/>
      <c r="BK88" s="357"/>
      <c r="BL88" s="357"/>
      <c r="BM88" s="357"/>
      <c r="BN88" s="357"/>
      <c r="BO88" s="357"/>
      <c r="BP88" s="357"/>
      <c r="BQ88" s="357"/>
      <c r="BR88" s="357"/>
      <c r="BS88" s="357"/>
      <c r="BT88" s="357"/>
      <c r="BU88" s="357"/>
      <c r="BV88" s="357"/>
    </row>
    <row r="89" spans="1:74" ht="15.75" x14ac:dyDescent="0.25">
      <c r="A89" s="2"/>
      <c r="B89" s="2"/>
      <c r="C89" s="2"/>
      <c r="D89" s="2"/>
      <c r="E89" s="2"/>
      <c r="F89" s="812"/>
      <c r="G89" s="2"/>
      <c r="H89" s="2"/>
      <c r="I89" s="2"/>
      <c r="J89" s="2"/>
      <c r="K89" s="161"/>
      <c r="L89" s="2"/>
      <c r="M89" s="2"/>
      <c r="N89" s="2"/>
      <c r="O89" s="742"/>
      <c r="P89" s="2"/>
      <c r="Q89" s="2"/>
      <c r="R89" s="2"/>
      <c r="S89" s="2"/>
      <c r="T89" s="357"/>
      <c r="U89" s="357"/>
      <c r="V89" s="357"/>
      <c r="W89" s="357"/>
      <c r="X89" s="357"/>
      <c r="Y89" s="357"/>
      <c r="Z89" s="357"/>
      <c r="AA89" s="357"/>
      <c r="AB89" s="357"/>
      <c r="AC89" s="357"/>
      <c r="AD89" s="357"/>
      <c r="AE89" s="357"/>
      <c r="AF89" s="357"/>
      <c r="AG89" s="357"/>
      <c r="AH89" s="357"/>
      <c r="AI89" s="357"/>
      <c r="AJ89" s="357"/>
      <c r="AK89" s="357"/>
      <c r="AL89" s="357"/>
      <c r="AM89" s="357"/>
      <c r="AN89" s="357"/>
      <c r="AO89" s="357"/>
      <c r="AP89" s="357"/>
      <c r="AQ89" s="357"/>
      <c r="AR89" s="357"/>
      <c r="AS89" s="357"/>
      <c r="AT89" s="357"/>
      <c r="AU89" s="357"/>
      <c r="AV89" s="357"/>
      <c r="AW89" s="357"/>
      <c r="AX89" s="357"/>
      <c r="AY89" s="357"/>
      <c r="AZ89" s="357"/>
      <c r="BA89" s="357"/>
      <c r="BB89" s="357"/>
      <c r="BC89" s="357"/>
      <c r="BD89" s="357"/>
      <c r="BE89" s="357"/>
      <c r="BF89" s="357"/>
      <c r="BG89" s="357"/>
      <c r="BH89" s="357"/>
      <c r="BI89" s="357"/>
      <c r="BJ89" s="357"/>
      <c r="BK89" s="357"/>
      <c r="BL89" s="357"/>
      <c r="BM89" s="357"/>
      <c r="BN89" s="357"/>
      <c r="BO89" s="357"/>
      <c r="BP89" s="357"/>
      <c r="BQ89" s="357"/>
      <c r="BR89" s="357"/>
      <c r="BS89" s="357"/>
      <c r="BT89" s="357"/>
      <c r="BU89" s="357"/>
      <c r="BV89" s="357"/>
    </row>
    <row r="90" spans="1:74" ht="15.75" x14ac:dyDescent="0.25">
      <c r="A90" s="2"/>
      <c r="B90" s="2"/>
      <c r="C90" s="2"/>
      <c r="D90" s="2"/>
      <c r="E90" s="2"/>
      <c r="F90" s="812"/>
      <c r="G90" s="2"/>
      <c r="H90" s="2"/>
      <c r="I90" s="2"/>
      <c r="J90" s="2"/>
      <c r="K90" s="161"/>
      <c r="L90" s="2"/>
      <c r="M90" s="2"/>
      <c r="N90" s="2"/>
      <c r="O90" s="742"/>
      <c r="P90" s="2"/>
      <c r="Q90" s="2"/>
      <c r="R90" s="2"/>
      <c r="S90" s="2"/>
      <c r="T90" s="357"/>
      <c r="U90" s="357"/>
      <c r="V90" s="357"/>
      <c r="W90" s="357"/>
      <c r="X90" s="357"/>
      <c r="Y90" s="357"/>
      <c r="Z90" s="357"/>
      <c r="AA90" s="357"/>
      <c r="AB90" s="357"/>
      <c r="AC90" s="357"/>
      <c r="AD90" s="357"/>
      <c r="AE90" s="357"/>
      <c r="AF90" s="357"/>
      <c r="AG90" s="357"/>
      <c r="AH90" s="357"/>
      <c r="AI90" s="357"/>
      <c r="AJ90" s="357"/>
      <c r="AK90" s="357"/>
      <c r="AL90" s="357"/>
      <c r="AM90" s="357"/>
      <c r="AN90" s="357"/>
      <c r="AO90" s="357"/>
      <c r="AP90" s="357"/>
      <c r="AQ90" s="357"/>
      <c r="AR90" s="357"/>
      <c r="AS90" s="357"/>
      <c r="AT90" s="357"/>
      <c r="AU90" s="357"/>
      <c r="AV90" s="357"/>
      <c r="AW90" s="357"/>
      <c r="AX90" s="357"/>
      <c r="AY90" s="357"/>
      <c r="AZ90" s="357"/>
      <c r="BA90" s="357"/>
      <c r="BB90" s="357"/>
      <c r="BC90" s="357"/>
      <c r="BD90" s="357"/>
      <c r="BE90" s="357"/>
      <c r="BF90" s="357"/>
      <c r="BG90" s="357"/>
      <c r="BH90" s="357"/>
      <c r="BI90" s="357"/>
      <c r="BJ90" s="357"/>
      <c r="BK90" s="357"/>
      <c r="BL90" s="357"/>
      <c r="BM90" s="357"/>
      <c r="BN90" s="357"/>
      <c r="BO90" s="357"/>
      <c r="BP90" s="357"/>
      <c r="BQ90" s="357"/>
      <c r="BR90" s="357"/>
      <c r="BS90" s="357"/>
      <c r="BT90" s="357"/>
      <c r="BU90" s="357"/>
      <c r="BV90" s="357"/>
    </row>
  </sheetData>
  <mergeCells count="7">
    <mergeCell ref="A70:D70"/>
    <mergeCell ref="J4:R4"/>
    <mergeCell ref="A15:D15"/>
    <mergeCell ref="A34:D34"/>
    <mergeCell ref="A58:D58"/>
    <mergeCell ref="A64:D64"/>
    <mergeCell ref="A6:G6"/>
  </mergeCells>
  <pageMargins left="0.7" right="0.7" top="0.75" bottom="0.75" header="0.3" footer="0.3"/>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2"/>
  </sheetPr>
  <dimension ref="A1:AA23"/>
  <sheetViews>
    <sheetView showZeros="0" topLeftCell="B1" workbookViewId="0">
      <selection activeCell="F12" sqref="F12"/>
    </sheetView>
  </sheetViews>
  <sheetFormatPr defaultColWidth="9.42578125" defaultRowHeight="15" x14ac:dyDescent="0.25"/>
  <cols>
    <col min="1" max="1" width="5.7109375" hidden="1" customWidth="1"/>
    <col min="2" max="2" width="4.7109375" bestFit="1" customWidth="1"/>
    <col min="3" max="3" width="8.140625" bestFit="1" customWidth="1"/>
    <col min="4" max="4" width="26.85546875" customWidth="1"/>
    <col min="5" max="5" width="7" customWidth="1"/>
    <col min="6" max="6" width="7.28515625" customWidth="1"/>
    <col min="7" max="7" width="9.28515625" customWidth="1"/>
    <col min="8" max="9" width="10.28515625" customWidth="1"/>
    <col min="10" max="11" width="7.28515625" customWidth="1"/>
    <col min="12" max="12" width="10.28515625" customWidth="1"/>
    <col min="13" max="13" width="7.28515625" customWidth="1"/>
    <col min="14" max="15" width="10.28515625" customWidth="1"/>
    <col min="16" max="16" width="11.140625" customWidth="1"/>
  </cols>
  <sheetData>
    <row r="1" spans="1:27" ht="18.75" x14ac:dyDescent="0.3">
      <c r="A1" s="1101" t="s">
        <v>480</v>
      </c>
      <c r="B1" s="1101" t="s">
        <v>480</v>
      </c>
      <c r="C1" s="1101" t="s">
        <v>480</v>
      </c>
      <c r="D1" s="1101" t="s">
        <v>480</v>
      </c>
      <c r="E1" s="1101" t="s">
        <v>480</v>
      </c>
      <c r="F1" s="1101" t="s">
        <v>480</v>
      </c>
      <c r="G1" s="1101" t="s">
        <v>480</v>
      </c>
      <c r="H1" s="1101" t="s">
        <v>480</v>
      </c>
      <c r="I1" s="1101" t="s">
        <v>480</v>
      </c>
      <c r="J1" s="1101" t="s">
        <v>480</v>
      </c>
      <c r="K1" s="1101" t="s">
        <v>480</v>
      </c>
      <c r="L1" s="1101" t="s">
        <v>480</v>
      </c>
      <c r="M1" s="1101" t="s">
        <v>480</v>
      </c>
      <c r="N1" s="1101" t="s">
        <v>480</v>
      </c>
      <c r="O1" s="1101" t="s">
        <v>480</v>
      </c>
      <c r="P1" s="1101" t="s">
        <v>480</v>
      </c>
    </row>
    <row r="2" spans="1:27" x14ac:dyDescent="0.25">
      <c r="A2" s="1121" t="s">
        <v>197</v>
      </c>
      <c r="B2" s="1121" t="s">
        <v>197</v>
      </c>
      <c r="C2" s="1121" t="s">
        <v>197</v>
      </c>
      <c r="D2" s="1121" t="s">
        <v>197</v>
      </c>
      <c r="E2" s="1121" t="s">
        <v>197</v>
      </c>
      <c r="F2" s="1121" t="s">
        <v>197</v>
      </c>
      <c r="G2" s="1121" t="s">
        <v>197</v>
      </c>
      <c r="H2" s="1121" t="s">
        <v>197</v>
      </c>
      <c r="I2" s="1121" t="s">
        <v>197</v>
      </c>
      <c r="J2" s="1121" t="s">
        <v>197</v>
      </c>
      <c r="K2" s="1121" t="s">
        <v>197</v>
      </c>
      <c r="L2" s="1121" t="s">
        <v>197</v>
      </c>
      <c r="M2" s="1121" t="s">
        <v>197</v>
      </c>
      <c r="N2" s="1121" t="s">
        <v>197</v>
      </c>
      <c r="O2" s="1121" t="s">
        <v>197</v>
      </c>
      <c r="P2" s="1121" t="s">
        <v>197</v>
      </c>
    </row>
    <row r="3" spans="1:27" x14ac:dyDescent="0.25">
      <c r="A3" s="1121" t="s">
        <v>1409</v>
      </c>
      <c r="B3" s="1121" t="s">
        <v>1409</v>
      </c>
      <c r="C3" s="1121" t="s">
        <v>1409</v>
      </c>
      <c r="D3" s="1121" t="s">
        <v>1409</v>
      </c>
      <c r="E3" s="1121" t="s">
        <v>1409</v>
      </c>
      <c r="F3" s="1121" t="s">
        <v>1409</v>
      </c>
      <c r="G3" s="1121" t="s">
        <v>1409</v>
      </c>
      <c r="H3" s="1121" t="s">
        <v>1409</v>
      </c>
      <c r="I3" s="1121" t="s">
        <v>1409</v>
      </c>
      <c r="J3" s="1121" t="s">
        <v>1409</v>
      </c>
      <c r="K3" s="1121" t="s">
        <v>1409</v>
      </c>
      <c r="L3" s="1121" t="s">
        <v>1409</v>
      </c>
      <c r="M3" s="1121" t="s">
        <v>1409</v>
      </c>
      <c r="N3" s="1121" t="s">
        <v>1409</v>
      </c>
      <c r="O3" s="1121" t="s">
        <v>1409</v>
      </c>
      <c r="P3" s="1121" t="s">
        <v>1409</v>
      </c>
    </row>
    <row r="4" spans="1:27" x14ac:dyDescent="0.25">
      <c r="A4" s="1122"/>
      <c r="B4" s="1123" t="s">
        <v>1323</v>
      </c>
      <c r="C4" s="1124" t="s">
        <v>876</v>
      </c>
      <c r="D4" s="1123" t="s">
        <v>275</v>
      </c>
      <c r="E4" s="1123" t="s">
        <v>1448</v>
      </c>
      <c r="F4" s="1123" t="s">
        <v>428</v>
      </c>
      <c r="G4" s="1123" t="s">
        <v>522</v>
      </c>
      <c r="H4" s="1123" t="s">
        <v>381</v>
      </c>
      <c r="I4" s="1123" t="s">
        <v>918</v>
      </c>
      <c r="J4" s="1123"/>
      <c r="K4" s="1123" t="s">
        <v>794</v>
      </c>
      <c r="L4" s="1123"/>
      <c r="M4" s="1123"/>
      <c r="N4" s="1123" t="s">
        <v>1212</v>
      </c>
      <c r="O4" s="1123" t="s">
        <v>1286</v>
      </c>
      <c r="P4" s="1123" t="s">
        <v>502</v>
      </c>
      <c r="Q4" s="600"/>
      <c r="R4" s="600"/>
      <c r="S4" s="600"/>
      <c r="T4" s="600"/>
      <c r="U4" s="600"/>
      <c r="V4" s="600"/>
      <c r="W4" s="600"/>
      <c r="X4" s="600"/>
      <c r="Y4" s="600"/>
      <c r="Z4" s="600"/>
      <c r="AA4" s="600"/>
    </row>
    <row r="5" spans="1:27" x14ac:dyDescent="0.25">
      <c r="A5" s="1122"/>
      <c r="B5" s="1123"/>
      <c r="C5" s="1124"/>
      <c r="D5" s="1123"/>
      <c r="E5" s="1123"/>
      <c r="F5" s="1123"/>
      <c r="G5" s="1123"/>
      <c r="H5" s="1123"/>
      <c r="I5" s="891" t="s">
        <v>918</v>
      </c>
      <c r="J5" s="891" t="s">
        <v>860</v>
      </c>
      <c r="K5" s="891" t="s">
        <v>1137</v>
      </c>
      <c r="L5" s="891" t="s">
        <v>202</v>
      </c>
      <c r="M5" s="891" t="s">
        <v>399</v>
      </c>
      <c r="N5" s="1123"/>
      <c r="O5" s="1123"/>
      <c r="P5" s="1123"/>
      <c r="Q5" s="600"/>
      <c r="R5" s="600"/>
      <c r="S5" s="600"/>
      <c r="T5" s="600"/>
      <c r="U5" s="600"/>
      <c r="V5" s="600"/>
      <c r="W5" s="600"/>
      <c r="X5" s="600"/>
      <c r="Y5" s="600"/>
      <c r="Z5" s="600"/>
      <c r="AA5" s="600"/>
    </row>
    <row r="6" spans="1:27" x14ac:dyDescent="0.25">
      <c r="A6" s="595"/>
      <c r="B6" s="491">
        <v>1</v>
      </c>
      <c r="C6" s="826" t="s">
        <v>258</v>
      </c>
      <c r="D6" s="472" t="s">
        <v>1061</v>
      </c>
      <c r="E6" s="491" t="s">
        <v>28</v>
      </c>
      <c r="F6" s="191">
        <v>0</v>
      </c>
      <c r="G6" s="472" t="s">
        <v>387</v>
      </c>
      <c r="H6" s="472"/>
      <c r="I6" s="472" t="s">
        <v>73</v>
      </c>
      <c r="J6" s="491">
        <v>1</v>
      </c>
      <c r="K6" s="191">
        <v>0</v>
      </c>
      <c r="L6" s="491">
        <f t="shared" ref="L6:L20" si="0">J6*K6</f>
        <v>0</v>
      </c>
      <c r="M6" s="491">
        <f t="shared" ref="M6:M20" si="1">SUM(L6:L6)</f>
        <v>0</v>
      </c>
      <c r="N6" s="240">
        <f t="shared" ref="N6:N20" si="2">0</f>
        <v>0</v>
      </c>
      <c r="O6" s="466">
        <v>0</v>
      </c>
      <c r="P6" s="240">
        <f t="shared" ref="P6:P20" si="3">F6*N6+O6</f>
        <v>0</v>
      </c>
      <c r="Q6" s="600"/>
      <c r="R6" s="600"/>
      <c r="S6" s="600"/>
      <c r="T6" s="600"/>
      <c r="U6" s="600"/>
      <c r="V6" s="600"/>
      <c r="W6" s="600"/>
      <c r="X6" s="600"/>
      <c r="Y6" s="600"/>
      <c r="Z6" s="600"/>
      <c r="AA6" s="600"/>
    </row>
    <row r="7" spans="1:27" x14ac:dyDescent="0.25">
      <c r="A7" s="498"/>
      <c r="B7" s="782">
        <v>2</v>
      </c>
      <c r="C7" s="756" t="s">
        <v>1290</v>
      </c>
      <c r="D7" s="765" t="s">
        <v>1204</v>
      </c>
      <c r="E7" s="782" t="s">
        <v>144</v>
      </c>
      <c r="F7" s="102">
        <v>0</v>
      </c>
      <c r="G7" s="765" t="s">
        <v>387</v>
      </c>
      <c r="H7" s="765"/>
      <c r="I7" s="765" t="s">
        <v>73</v>
      </c>
      <c r="J7" s="782">
        <v>1</v>
      </c>
      <c r="K7" s="102">
        <v>0</v>
      </c>
      <c r="L7" s="782">
        <f t="shared" si="0"/>
        <v>0</v>
      </c>
      <c r="M7" s="782">
        <f t="shared" si="1"/>
        <v>0</v>
      </c>
      <c r="N7" s="162">
        <f t="shared" si="2"/>
        <v>0</v>
      </c>
      <c r="O7" s="389">
        <v>0</v>
      </c>
      <c r="P7" s="162">
        <f t="shared" si="3"/>
        <v>0</v>
      </c>
      <c r="Q7" s="600"/>
      <c r="R7" s="600"/>
      <c r="S7" s="600"/>
      <c r="T7" s="600"/>
      <c r="U7" s="600"/>
      <c r="V7" s="600"/>
      <c r="W7" s="600"/>
      <c r="X7" s="600"/>
      <c r="Y7" s="600"/>
      <c r="Z7" s="600"/>
      <c r="AA7" s="600"/>
    </row>
    <row r="8" spans="1:27" x14ac:dyDescent="0.25">
      <c r="A8" s="498"/>
      <c r="B8" s="782">
        <v>3</v>
      </c>
      <c r="C8" s="756" t="s">
        <v>1290</v>
      </c>
      <c r="D8" s="765" t="s">
        <v>103</v>
      </c>
      <c r="E8" s="782" t="s">
        <v>144</v>
      </c>
      <c r="F8" s="102">
        <v>0</v>
      </c>
      <c r="G8" s="765" t="s">
        <v>387</v>
      </c>
      <c r="H8" s="765"/>
      <c r="I8" s="765" t="s">
        <v>73</v>
      </c>
      <c r="J8" s="782">
        <v>1</v>
      </c>
      <c r="K8" s="102">
        <v>0</v>
      </c>
      <c r="L8" s="782">
        <f t="shared" si="0"/>
        <v>0</v>
      </c>
      <c r="M8" s="782">
        <f t="shared" si="1"/>
        <v>0</v>
      </c>
      <c r="N8" s="162">
        <f t="shared" si="2"/>
        <v>0</v>
      </c>
      <c r="O8" s="389">
        <v>0</v>
      </c>
      <c r="P8" s="162">
        <f t="shared" si="3"/>
        <v>0</v>
      </c>
      <c r="Q8" s="600"/>
      <c r="R8" s="600"/>
      <c r="S8" s="600"/>
      <c r="T8" s="600"/>
      <c r="U8" s="600"/>
      <c r="V8" s="600"/>
      <c r="W8" s="600"/>
      <c r="X8" s="600"/>
      <c r="Y8" s="600"/>
      <c r="Z8" s="600"/>
      <c r="AA8" s="600"/>
    </row>
    <row r="9" spans="1:27" x14ac:dyDescent="0.25">
      <c r="A9" s="498"/>
      <c r="B9" s="782">
        <v>4</v>
      </c>
      <c r="C9" s="756" t="s">
        <v>142</v>
      </c>
      <c r="D9" s="316" t="s">
        <v>1204</v>
      </c>
      <c r="E9" s="782" t="s">
        <v>144</v>
      </c>
      <c r="F9" s="102">
        <v>0</v>
      </c>
      <c r="G9" s="765" t="s">
        <v>387</v>
      </c>
      <c r="H9" s="765"/>
      <c r="I9" s="765" t="s">
        <v>73</v>
      </c>
      <c r="J9" s="782">
        <v>1</v>
      </c>
      <c r="K9" s="102">
        <v>0</v>
      </c>
      <c r="L9" s="782">
        <f t="shared" si="0"/>
        <v>0</v>
      </c>
      <c r="M9" s="782">
        <f t="shared" si="1"/>
        <v>0</v>
      </c>
      <c r="N9" s="162">
        <f t="shared" si="2"/>
        <v>0</v>
      </c>
      <c r="O9" s="389">
        <v>0</v>
      </c>
      <c r="P9" s="162">
        <f t="shared" si="3"/>
        <v>0</v>
      </c>
      <c r="Q9" s="600"/>
      <c r="R9" s="600"/>
      <c r="S9" s="600"/>
      <c r="T9" s="600"/>
      <c r="U9" s="600"/>
      <c r="V9" s="600"/>
      <c r="W9" s="600"/>
      <c r="X9" s="600"/>
      <c r="Y9" s="600"/>
      <c r="Z9" s="600"/>
      <c r="AA9" s="600"/>
    </row>
    <row r="10" spans="1:27" x14ac:dyDescent="0.25">
      <c r="A10" s="498"/>
      <c r="B10" s="782">
        <v>5</v>
      </c>
      <c r="C10" s="756" t="s">
        <v>95</v>
      </c>
      <c r="D10" s="316" t="s">
        <v>630</v>
      </c>
      <c r="E10" s="782" t="s">
        <v>144</v>
      </c>
      <c r="F10" s="102">
        <v>1.45</v>
      </c>
      <c r="G10" s="765" t="s">
        <v>387</v>
      </c>
      <c r="H10" s="765"/>
      <c r="I10" s="765" t="s">
        <v>73</v>
      </c>
      <c r="J10" s="782">
        <v>1</v>
      </c>
      <c r="K10" s="102">
        <v>0</v>
      </c>
      <c r="L10" s="782">
        <f t="shared" si="0"/>
        <v>0</v>
      </c>
      <c r="M10" s="782">
        <f t="shared" si="1"/>
        <v>0</v>
      </c>
      <c r="N10" s="162">
        <f t="shared" si="2"/>
        <v>0</v>
      </c>
      <c r="O10" s="389">
        <v>0</v>
      </c>
      <c r="P10" s="162">
        <f t="shared" si="3"/>
        <v>0</v>
      </c>
      <c r="Q10" s="600"/>
      <c r="R10" s="600"/>
      <c r="S10" s="600"/>
      <c r="T10" s="600"/>
      <c r="U10" s="600"/>
      <c r="V10" s="600"/>
      <c r="W10" s="600"/>
      <c r="X10" s="600"/>
      <c r="Y10" s="600"/>
      <c r="Z10" s="600"/>
      <c r="AA10" s="600"/>
    </row>
    <row r="11" spans="1:27" x14ac:dyDescent="0.25">
      <c r="A11" s="498"/>
      <c r="B11" s="782">
        <v>6</v>
      </c>
      <c r="C11" s="756" t="s">
        <v>193</v>
      </c>
      <c r="D11" s="316" t="s">
        <v>759</v>
      </c>
      <c r="E11" s="782" t="s">
        <v>144</v>
      </c>
      <c r="F11" s="102">
        <v>1.5</v>
      </c>
      <c r="G11" s="765" t="s">
        <v>387</v>
      </c>
      <c r="H11" s="765"/>
      <c r="I11" s="765" t="s">
        <v>73</v>
      </c>
      <c r="J11" s="782">
        <v>1</v>
      </c>
      <c r="K11" s="102">
        <v>0</v>
      </c>
      <c r="L11" s="782">
        <f t="shared" si="0"/>
        <v>0</v>
      </c>
      <c r="M11" s="782">
        <f t="shared" si="1"/>
        <v>0</v>
      </c>
      <c r="N11" s="162">
        <f t="shared" si="2"/>
        <v>0</v>
      </c>
      <c r="O11" s="389">
        <v>0</v>
      </c>
      <c r="P11" s="162">
        <f t="shared" si="3"/>
        <v>0</v>
      </c>
      <c r="Q11" s="600"/>
      <c r="R11" s="600"/>
      <c r="S11" s="600"/>
      <c r="T11" s="600"/>
      <c r="U11" s="600"/>
      <c r="V11" s="600"/>
      <c r="W11" s="600"/>
      <c r="X11" s="600"/>
      <c r="Y11" s="600"/>
      <c r="Z11" s="600"/>
      <c r="AA11" s="600"/>
    </row>
    <row r="12" spans="1:27" x14ac:dyDescent="0.25">
      <c r="A12" s="498"/>
      <c r="B12" s="782">
        <v>7</v>
      </c>
      <c r="C12" s="756" t="s">
        <v>1285</v>
      </c>
      <c r="D12" s="316" t="s">
        <v>730</v>
      </c>
      <c r="E12" s="782" t="s">
        <v>1258</v>
      </c>
      <c r="F12" s="102">
        <v>0</v>
      </c>
      <c r="G12" s="765" t="s">
        <v>387</v>
      </c>
      <c r="H12" s="765"/>
      <c r="I12" s="765" t="s">
        <v>73</v>
      </c>
      <c r="J12" s="782">
        <v>1</v>
      </c>
      <c r="K12" s="102">
        <v>0</v>
      </c>
      <c r="L12" s="782">
        <f t="shared" si="0"/>
        <v>0</v>
      </c>
      <c r="M12" s="782">
        <f t="shared" si="1"/>
        <v>0</v>
      </c>
      <c r="N12" s="162">
        <f t="shared" si="2"/>
        <v>0</v>
      </c>
      <c r="O12" s="389">
        <v>0</v>
      </c>
      <c r="P12" s="162">
        <f t="shared" si="3"/>
        <v>0</v>
      </c>
      <c r="Q12" s="600"/>
      <c r="R12" s="600"/>
      <c r="S12" s="600"/>
      <c r="T12" s="600"/>
      <c r="U12" s="600"/>
      <c r="V12" s="600"/>
      <c r="W12" s="600"/>
      <c r="X12" s="600"/>
      <c r="Y12" s="600"/>
      <c r="Z12" s="600"/>
      <c r="AA12" s="600"/>
    </row>
    <row r="13" spans="1:27" x14ac:dyDescent="0.25">
      <c r="A13" s="498"/>
      <c r="B13" s="782">
        <v>8</v>
      </c>
      <c r="C13" s="756" t="s">
        <v>491</v>
      </c>
      <c r="D13" s="316" t="s">
        <v>157</v>
      </c>
      <c r="E13" s="782" t="s">
        <v>144</v>
      </c>
      <c r="F13" s="102">
        <v>0.77</v>
      </c>
      <c r="G13" s="765" t="s">
        <v>387</v>
      </c>
      <c r="H13" s="765"/>
      <c r="I13" s="765" t="s">
        <v>73</v>
      </c>
      <c r="J13" s="782">
        <v>1</v>
      </c>
      <c r="K13" s="102">
        <v>0</v>
      </c>
      <c r="L13" s="782">
        <f t="shared" si="0"/>
        <v>0</v>
      </c>
      <c r="M13" s="782">
        <f t="shared" si="1"/>
        <v>0</v>
      </c>
      <c r="N13" s="162">
        <f t="shared" si="2"/>
        <v>0</v>
      </c>
      <c r="O13" s="389">
        <v>0</v>
      </c>
      <c r="P13" s="162">
        <f t="shared" si="3"/>
        <v>0</v>
      </c>
      <c r="Q13" s="600"/>
      <c r="R13" s="600"/>
      <c r="S13" s="600"/>
      <c r="T13" s="600"/>
      <c r="U13" s="600"/>
      <c r="V13" s="600"/>
      <c r="W13" s="600"/>
      <c r="X13" s="600"/>
      <c r="Y13" s="600"/>
      <c r="Z13" s="600"/>
      <c r="AA13" s="600"/>
    </row>
    <row r="14" spans="1:27" x14ac:dyDescent="0.25">
      <c r="A14" s="498"/>
      <c r="B14" s="782">
        <v>9</v>
      </c>
      <c r="C14" s="756" t="s">
        <v>496</v>
      </c>
      <c r="D14" s="316" t="s">
        <v>309</v>
      </c>
      <c r="E14" s="782" t="s">
        <v>418</v>
      </c>
      <c r="F14" s="102">
        <v>0</v>
      </c>
      <c r="G14" s="765" t="s">
        <v>387</v>
      </c>
      <c r="H14" s="765"/>
      <c r="I14" s="765" t="s">
        <v>73</v>
      </c>
      <c r="J14" s="782">
        <v>1</v>
      </c>
      <c r="K14" s="102">
        <v>0</v>
      </c>
      <c r="L14" s="782">
        <f t="shared" si="0"/>
        <v>0</v>
      </c>
      <c r="M14" s="782">
        <f t="shared" si="1"/>
        <v>0</v>
      </c>
      <c r="N14" s="162">
        <f t="shared" si="2"/>
        <v>0</v>
      </c>
      <c r="O14" s="389">
        <v>0</v>
      </c>
      <c r="P14" s="162">
        <f t="shared" si="3"/>
        <v>0</v>
      </c>
      <c r="Q14" s="600"/>
      <c r="R14" s="600"/>
      <c r="S14" s="600"/>
      <c r="T14" s="600"/>
      <c r="U14" s="600"/>
      <c r="V14" s="600"/>
      <c r="W14" s="600"/>
      <c r="X14" s="600"/>
      <c r="Y14" s="600"/>
      <c r="Z14" s="600"/>
      <c r="AA14" s="600"/>
    </row>
    <row r="15" spans="1:27" x14ac:dyDescent="0.25">
      <c r="A15" s="498"/>
      <c r="B15" s="782">
        <v>10</v>
      </c>
      <c r="C15" s="756" t="s">
        <v>138</v>
      </c>
      <c r="D15" s="316" t="s">
        <v>11</v>
      </c>
      <c r="E15" s="782" t="s">
        <v>460</v>
      </c>
      <c r="F15" s="102">
        <v>1E-3</v>
      </c>
      <c r="G15" s="765" t="s">
        <v>387</v>
      </c>
      <c r="H15" s="765"/>
      <c r="I15" s="765" t="s">
        <v>73</v>
      </c>
      <c r="J15" s="782">
        <v>1</v>
      </c>
      <c r="K15" s="102">
        <v>0</v>
      </c>
      <c r="L15" s="782">
        <f t="shared" si="0"/>
        <v>0</v>
      </c>
      <c r="M15" s="782">
        <f t="shared" si="1"/>
        <v>0</v>
      </c>
      <c r="N15" s="162">
        <f t="shared" si="2"/>
        <v>0</v>
      </c>
      <c r="O15" s="389">
        <v>0</v>
      </c>
      <c r="P15" s="162">
        <f t="shared" si="3"/>
        <v>0</v>
      </c>
      <c r="Q15" s="600"/>
      <c r="R15" s="600"/>
      <c r="S15" s="600"/>
      <c r="T15" s="600"/>
      <c r="U15" s="600"/>
      <c r="V15" s="600"/>
      <c r="W15" s="600"/>
      <c r="X15" s="600"/>
      <c r="Y15" s="600"/>
      <c r="Z15" s="600"/>
      <c r="AA15" s="600"/>
    </row>
    <row r="16" spans="1:27" x14ac:dyDescent="0.25">
      <c r="A16" s="498"/>
      <c r="B16" s="782">
        <v>11</v>
      </c>
      <c r="C16" s="756" t="s">
        <v>135</v>
      </c>
      <c r="D16" s="316" t="s">
        <v>938</v>
      </c>
      <c r="E16" s="782" t="s">
        <v>1431</v>
      </c>
      <c r="F16" s="102">
        <v>0</v>
      </c>
      <c r="G16" s="765" t="s">
        <v>387</v>
      </c>
      <c r="H16" s="765"/>
      <c r="I16" s="765" t="s">
        <v>73</v>
      </c>
      <c r="J16" s="782">
        <v>1</v>
      </c>
      <c r="K16" s="102">
        <v>0</v>
      </c>
      <c r="L16" s="782">
        <f t="shared" si="0"/>
        <v>0</v>
      </c>
      <c r="M16" s="782">
        <f t="shared" si="1"/>
        <v>0</v>
      </c>
      <c r="N16" s="162">
        <f t="shared" si="2"/>
        <v>0</v>
      </c>
      <c r="O16" s="389">
        <v>0</v>
      </c>
      <c r="P16" s="162">
        <f t="shared" si="3"/>
        <v>0</v>
      </c>
      <c r="Q16" s="600"/>
      <c r="R16" s="600"/>
      <c r="S16" s="600"/>
      <c r="T16" s="600"/>
      <c r="U16" s="600"/>
      <c r="V16" s="600"/>
      <c r="W16" s="600"/>
      <c r="X16" s="600"/>
      <c r="Y16" s="600"/>
      <c r="Z16" s="600"/>
      <c r="AA16" s="600"/>
    </row>
    <row r="17" spans="1:27" x14ac:dyDescent="0.25">
      <c r="A17" s="498"/>
      <c r="B17" s="782">
        <v>12</v>
      </c>
      <c r="C17" s="756" t="s">
        <v>444</v>
      </c>
      <c r="D17" s="316" t="s">
        <v>938</v>
      </c>
      <c r="E17" s="782" t="s">
        <v>144</v>
      </c>
      <c r="F17" s="102">
        <v>0</v>
      </c>
      <c r="G17" s="765" t="s">
        <v>387</v>
      </c>
      <c r="H17" s="765"/>
      <c r="I17" s="765" t="s">
        <v>73</v>
      </c>
      <c r="J17" s="782">
        <v>1</v>
      </c>
      <c r="K17" s="102">
        <v>0</v>
      </c>
      <c r="L17" s="782">
        <f t="shared" si="0"/>
        <v>0</v>
      </c>
      <c r="M17" s="782">
        <f t="shared" si="1"/>
        <v>0</v>
      </c>
      <c r="N17" s="162">
        <f t="shared" si="2"/>
        <v>0</v>
      </c>
      <c r="O17" s="389">
        <v>0</v>
      </c>
      <c r="P17" s="162">
        <f t="shared" si="3"/>
        <v>0</v>
      </c>
      <c r="Q17" s="600"/>
      <c r="R17" s="600"/>
      <c r="S17" s="600"/>
      <c r="T17" s="600"/>
      <c r="U17" s="600"/>
      <c r="V17" s="600"/>
      <c r="W17" s="600"/>
      <c r="X17" s="600"/>
      <c r="Y17" s="600"/>
      <c r="Z17" s="600"/>
      <c r="AA17" s="600"/>
    </row>
    <row r="18" spans="1:27" x14ac:dyDescent="0.25">
      <c r="A18" s="498"/>
      <c r="B18" s="782">
        <v>13</v>
      </c>
      <c r="C18" s="756" t="s">
        <v>218</v>
      </c>
      <c r="D18" s="316" t="s">
        <v>1165</v>
      </c>
      <c r="E18" s="782" t="s">
        <v>460</v>
      </c>
      <c r="F18" s="102">
        <v>1E-3</v>
      </c>
      <c r="G18" s="765" t="s">
        <v>365</v>
      </c>
      <c r="H18" s="765"/>
      <c r="I18" s="765" t="s">
        <v>73</v>
      </c>
      <c r="J18" s="782">
        <v>1</v>
      </c>
      <c r="K18" s="102">
        <v>0</v>
      </c>
      <c r="L18" s="782">
        <f t="shared" si="0"/>
        <v>0</v>
      </c>
      <c r="M18" s="782">
        <f t="shared" si="1"/>
        <v>0</v>
      </c>
      <c r="N18" s="162">
        <f t="shared" si="2"/>
        <v>0</v>
      </c>
      <c r="O18" s="389">
        <v>0</v>
      </c>
      <c r="P18" s="162">
        <f t="shared" si="3"/>
        <v>0</v>
      </c>
      <c r="Q18" s="600"/>
      <c r="R18" s="600"/>
      <c r="S18" s="600"/>
      <c r="T18" s="600"/>
      <c r="U18" s="600"/>
      <c r="V18" s="600"/>
      <c r="W18" s="600"/>
      <c r="X18" s="600"/>
      <c r="Y18" s="600"/>
      <c r="Z18" s="600"/>
      <c r="AA18" s="600"/>
    </row>
    <row r="19" spans="1:27" x14ac:dyDescent="0.25">
      <c r="A19" s="498"/>
      <c r="B19" s="782">
        <v>14</v>
      </c>
      <c r="C19" s="756" t="s">
        <v>379</v>
      </c>
      <c r="D19" s="316" t="s">
        <v>209</v>
      </c>
      <c r="E19" s="782" t="s">
        <v>460</v>
      </c>
      <c r="F19" s="102">
        <v>1E-3</v>
      </c>
      <c r="G19" s="765" t="s">
        <v>365</v>
      </c>
      <c r="H19" s="765"/>
      <c r="I19" s="765" t="s">
        <v>73</v>
      </c>
      <c r="J19" s="782">
        <v>1</v>
      </c>
      <c r="K19" s="102">
        <v>0</v>
      </c>
      <c r="L19" s="782">
        <f t="shared" si="0"/>
        <v>0</v>
      </c>
      <c r="M19" s="782">
        <f t="shared" si="1"/>
        <v>0</v>
      </c>
      <c r="N19" s="162">
        <f t="shared" si="2"/>
        <v>0</v>
      </c>
      <c r="O19" s="389">
        <v>0</v>
      </c>
      <c r="P19" s="162">
        <f t="shared" si="3"/>
        <v>0</v>
      </c>
      <c r="Q19" s="600"/>
      <c r="R19" s="600"/>
      <c r="S19" s="600"/>
      <c r="T19" s="600"/>
      <c r="U19" s="600"/>
      <c r="V19" s="600"/>
      <c r="W19" s="600"/>
      <c r="X19" s="600"/>
      <c r="Y19" s="600"/>
      <c r="Z19" s="600"/>
      <c r="AA19" s="600"/>
    </row>
    <row r="20" spans="1:27" x14ac:dyDescent="0.25">
      <c r="A20" s="524"/>
      <c r="B20" s="432">
        <v>15</v>
      </c>
      <c r="C20" s="775" t="s">
        <v>762</v>
      </c>
      <c r="D20" s="850" t="s">
        <v>1191</v>
      </c>
      <c r="E20" s="432" t="s">
        <v>460</v>
      </c>
      <c r="F20" s="673">
        <v>1E-3</v>
      </c>
      <c r="G20" s="407" t="s">
        <v>365</v>
      </c>
      <c r="H20" s="407"/>
      <c r="I20" s="407" t="s">
        <v>73</v>
      </c>
      <c r="J20" s="432">
        <v>1</v>
      </c>
      <c r="K20" s="673">
        <v>0</v>
      </c>
      <c r="L20" s="432">
        <f t="shared" si="0"/>
        <v>0</v>
      </c>
      <c r="M20" s="432">
        <f t="shared" si="1"/>
        <v>0</v>
      </c>
      <c r="N20" s="184">
        <f t="shared" si="2"/>
        <v>0</v>
      </c>
      <c r="O20" s="404">
        <v>0</v>
      </c>
      <c r="P20" s="184">
        <f t="shared" si="3"/>
        <v>0</v>
      </c>
      <c r="Q20" s="600"/>
      <c r="R20" s="600"/>
      <c r="S20" s="600"/>
      <c r="T20" s="600"/>
      <c r="U20" s="600"/>
      <c r="V20" s="600"/>
      <c r="W20" s="600"/>
      <c r="X20" s="600"/>
      <c r="Y20" s="600"/>
      <c r="Z20" s="600"/>
      <c r="AA20" s="600"/>
    </row>
    <row r="21" spans="1:27" x14ac:dyDescent="0.25">
      <c r="A21" s="27"/>
      <c r="B21" s="302"/>
      <c r="C21" s="289"/>
      <c r="D21" s="757"/>
      <c r="E21" s="302"/>
      <c r="F21" s="302"/>
      <c r="G21" s="302"/>
      <c r="H21" s="302"/>
      <c r="I21" s="302"/>
      <c r="J21" s="302"/>
      <c r="K21" s="302"/>
      <c r="L21" s="302"/>
      <c r="M21" s="302"/>
      <c r="N21" s="302"/>
      <c r="O21" s="302"/>
      <c r="P21" s="302"/>
      <c r="Q21" s="600"/>
      <c r="R21" s="600"/>
      <c r="S21" s="600"/>
      <c r="T21" s="600"/>
      <c r="U21" s="600"/>
      <c r="V21" s="600"/>
      <c r="W21" s="600"/>
      <c r="X21" s="600"/>
      <c r="Y21" s="600"/>
      <c r="Z21" s="600"/>
      <c r="AA21" s="600"/>
    </row>
    <row r="22" spans="1:27" x14ac:dyDescent="0.25">
      <c r="A22" s="27"/>
      <c r="B22" s="302"/>
      <c r="C22" s="289"/>
      <c r="D22" s="757"/>
      <c r="E22" s="302"/>
      <c r="F22" s="302"/>
      <c r="G22" s="302"/>
      <c r="H22" s="302"/>
      <c r="I22" s="302"/>
      <c r="J22" s="302"/>
      <c r="K22" s="302"/>
      <c r="L22" s="302"/>
      <c r="M22" s="302"/>
      <c r="N22" s="302"/>
      <c r="O22" s="302"/>
      <c r="P22" s="302"/>
      <c r="Q22" s="600"/>
      <c r="R22" s="600"/>
      <c r="S22" s="600"/>
      <c r="T22" s="600"/>
      <c r="U22" s="600"/>
      <c r="V22" s="600"/>
      <c r="W22" s="600"/>
      <c r="X22" s="600"/>
      <c r="Y22" s="600"/>
      <c r="Z22" s="600"/>
      <c r="AA22" s="600"/>
    </row>
    <row r="23" spans="1:27" x14ac:dyDescent="0.25">
      <c r="B23" s="600"/>
      <c r="C23" s="600"/>
      <c r="D23" s="600"/>
      <c r="E23" s="600"/>
      <c r="F23" s="600"/>
      <c r="G23" s="600"/>
      <c r="H23" s="600"/>
      <c r="I23" s="600"/>
      <c r="J23" s="600"/>
      <c r="K23" s="600"/>
      <c r="L23" s="600"/>
      <c r="M23" s="600"/>
      <c r="N23" s="600"/>
      <c r="O23" s="600"/>
      <c r="P23" s="600"/>
      <c r="Q23" s="600"/>
      <c r="R23" s="600"/>
      <c r="S23" s="600"/>
      <c r="T23" s="600"/>
      <c r="U23" s="600"/>
      <c r="V23" s="600"/>
      <c r="W23" s="600"/>
      <c r="X23" s="600"/>
      <c r="Y23" s="600"/>
      <c r="Z23" s="600"/>
      <c r="AA23" s="600"/>
    </row>
  </sheetData>
  <mergeCells count="16">
    <mergeCell ref="A1:P1"/>
    <mergeCell ref="A2:P2"/>
    <mergeCell ref="A3:P3"/>
    <mergeCell ref="A4:A5"/>
    <mergeCell ref="B4:B5"/>
    <mergeCell ref="C4:C5"/>
    <mergeCell ref="D4:D5"/>
    <mergeCell ref="E4:E5"/>
    <mergeCell ref="F4:F5"/>
    <mergeCell ref="G4:G5"/>
    <mergeCell ref="H4:H5"/>
    <mergeCell ref="I4:J4"/>
    <mergeCell ref="K4:M4"/>
    <mergeCell ref="N4:N5"/>
    <mergeCell ref="O4:O5"/>
    <mergeCell ref="P4:P5"/>
  </mergeCells>
  <conditionalFormatting sqref="J6:K20">
    <cfRule type="cellIs" dxfId="9" priority="1" stopIfTrue="1" operator="equal">
      <formula>0</formula>
    </cfRule>
  </conditionalFormatting>
  <pageMargins left="0.75" right="0.75" top="0.79" bottom="0.79" header="0.3" footer="0.3"/>
  <pageSetup paperSize="9" scale="90" orientation="landscape" useFirstPageNumber="1" horizontalDpi="65532"/>
  <headerFooter>
    <oddFooter>&amp;CTrang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2"/>
  </sheetPr>
  <dimension ref="A1:AA23"/>
  <sheetViews>
    <sheetView showZeros="0" topLeftCell="B1" workbookViewId="0">
      <selection activeCell="F12" sqref="F12"/>
    </sheetView>
  </sheetViews>
  <sheetFormatPr defaultColWidth="9.140625" defaultRowHeight="15" x14ac:dyDescent="0.25"/>
  <cols>
    <col min="1" max="1" width="3.5703125" style="794" hidden="1" customWidth="1"/>
    <col min="2" max="2" width="5.7109375" style="794" customWidth="1"/>
    <col min="3" max="3" width="8.5703125" style="794" customWidth="1"/>
    <col min="4" max="4" width="15" style="794" customWidth="1"/>
    <col min="5" max="5" width="6" style="794" customWidth="1"/>
    <col min="6" max="6" width="19.28515625" style="794" customWidth="1"/>
    <col min="7" max="7" width="6.85546875" style="794" customWidth="1"/>
    <col min="8" max="8" width="7.7109375" style="794" customWidth="1"/>
    <col min="9" max="9" width="7.85546875" style="794" customWidth="1"/>
    <col min="10" max="10" width="20.28515625" style="794" customWidth="1"/>
    <col min="11" max="11" width="6.7109375" style="794" customWidth="1"/>
    <col min="12" max="12" width="18.85546875" style="794" customWidth="1"/>
    <col min="13" max="13" width="6.7109375" style="794" customWidth="1"/>
    <col min="14" max="14" width="6.42578125" style="794" customWidth="1"/>
    <col min="15" max="15" width="7.85546875" style="794" customWidth="1"/>
    <col min="16" max="17" width="8.5703125" style="794" customWidth="1"/>
    <col min="18" max="19" width="10" style="794" customWidth="1"/>
    <col min="20" max="16384" width="9.140625" style="794"/>
  </cols>
  <sheetData>
    <row r="1" spans="1:27" ht="18.75" x14ac:dyDescent="0.3">
      <c r="A1" s="1125" t="s">
        <v>1128</v>
      </c>
      <c r="B1" s="1125" t="s">
        <v>1128</v>
      </c>
      <c r="C1" s="1125" t="s">
        <v>1128</v>
      </c>
      <c r="D1" s="1125" t="s">
        <v>1128</v>
      </c>
      <c r="E1" s="1125" t="s">
        <v>1128</v>
      </c>
      <c r="F1" s="1125" t="s">
        <v>1128</v>
      </c>
      <c r="G1" s="1125" t="s">
        <v>1128</v>
      </c>
      <c r="H1" s="1125" t="s">
        <v>1128</v>
      </c>
      <c r="I1" s="1125" t="s">
        <v>1128</v>
      </c>
      <c r="J1" s="1125" t="s">
        <v>1128</v>
      </c>
      <c r="K1" s="1125" t="s">
        <v>1128</v>
      </c>
      <c r="L1" s="1125" t="s">
        <v>1128</v>
      </c>
      <c r="M1" s="1125" t="s">
        <v>1128</v>
      </c>
      <c r="N1" s="1125" t="s">
        <v>1128</v>
      </c>
      <c r="O1" s="1125" t="s">
        <v>1128</v>
      </c>
      <c r="P1" s="1125" t="s">
        <v>1128</v>
      </c>
      <c r="Q1" s="1125" t="s">
        <v>1128</v>
      </c>
      <c r="R1" s="1125" t="s">
        <v>1128</v>
      </c>
      <c r="S1" s="1125" t="s">
        <v>1128</v>
      </c>
    </row>
    <row r="2" spans="1:27" x14ac:dyDescent="0.25">
      <c r="A2" s="1099" t="s">
        <v>197</v>
      </c>
      <c r="B2" s="1099" t="s">
        <v>197</v>
      </c>
      <c r="C2" s="1099" t="s">
        <v>197</v>
      </c>
      <c r="D2" s="1099" t="s">
        <v>197</v>
      </c>
      <c r="E2" s="1099" t="s">
        <v>197</v>
      </c>
      <c r="F2" s="1099" t="s">
        <v>197</v>
      </c>
      <c r="G2" s="1099" t="s">
        <v>197</v>
      </c>
      <c r="H2" s="1099" t="s">
        <v>197</v>
      </c>
      <c r="I2" s="1099" t="s">
        <v>197</v>
      </c>
      <c r="J2" s="1099" t="s">
        <v>197</v>
      </c>
      <c r="K2" s="1099" t="s">
        <v>197</v>
      </c>
      <c r="L2" s="1099" t="s">
        <v>197</v>
      </c>
      <c r="M2" s="1099" t="s">
        <v>197</v>
      </c>
      <c r="N2" s="1099" t="s">
        <v>197</v>
      </c>
      <c r="O2" s="1099" t="s">
        <v>197</v>
      </c>
      <c r="P2" s="1099" t="s">
        <v>197</v>
      </c>
      <c r="Q2" s="1099" t="s">
        <v>197</v>
      </c>
      <c r="R2" s="1099" t="s">
        <v>197</v>
      </c>
      <c r="S2" s="1099" t="s">
        <v>197</v>
      </c>
    </row>
    <row r="3" spans="1:27" x14ac:dyDescent="0.25">
      <c r="A3" s="1099" t="s">
        <v>1409</v>
      </c>
      <c r="B3" s="1099" t="s">
        <v>1409</v>
      </c>
      <c r="C3" s="1099" t="s">
        <v>1409</v>
      </c>
      <c r="D3" s="1099" t="s">
        <v>1409</v>
      </c>
      <c r="E3" s="1099" t="s">
        <v>1409</v>
      </c>
      <c r="F3" s="1099" t="s">
        <v>1409</v>
      </c>
      <c r="G3" s="1099" t="s">
        <v>1409</v>
      </c>
      <c r="H3" s="1099" t="s">
        <v>1409</v>
      </c>
      <c r="I3" s="1099" t="s">
        <v>1409</v>
      </c>
      <c r="J3" s="1099" t="s">
        <v>1409</v>
      </c>
      <c r="K3" s="1099" t="s">
        <v>1409</v>
      </c>
      <c r="L3" s="1099" t="s">
        <v>1409</v>
      </c>
      <c r="M3" s="1099" t="s">
        <v>1409</v>
      </c>
      <c r="N3" s="1099" t="s">
        <v>1409</v>
      </c>
      <c r="O3" s="1099" t="s">
        <v>1409</v>
      </c>
      <c r="P3" s="1099" t="s">
        <v>1409</v>
      </c>
      <c r="Q3" s="1099" t="s">
        <v>1409</v>
      </c>
      <c r="R3" s="1099" t="s">
        <v>1409</v>
      </c>
      <c r="S3" s="1099" t="s">
        <v>1409</v>
      </c>
    </row>
    <row r="4" spans="1:27" x14ac:dyDescent="0.25">
      <c r="B4" s="874"/>
      <c r="C4" s="864"/>
      <c r="D4" s="874"/>
      <c r="E4" s="874"/>
      <c r="F4" s="874"/>
      <c r="G4" s="874"/>
      <c r="H4" s="874"/>
      <c r="I4" s="874"/>
      <c r="J4" s="874"/>
      <c r="K4" s="874"/>
      <c r="L4" s="874"/>
      <c r="M4" s="874"/>
      <c r="N4" s="874"/>
      <c r="O4" s="874"/>
      <c r="P4" s="874"/>
      <c r="Q4" s="874"/>
      <c r="R4" s="754" t="s">
        <v>1125</v>
      </c>
      <c r="S4" s="567">
        <v>187070</v>
      </c>
      <c r="T4" s="874"/>
      <c r="U4" s="874"/>
      <c r="V4" s="874"/>
      <c r="W4" s="874"/>
      <c r="X4" s="874"/>
      <c r="Y4" s="874"/>
      <c r="Z4" s="874"/>
      <c r="AA4" s="874"/>
    </row>
    <row r="5" spans="1:27" ht="57" x14ac:dyDescent="0.25">
      <c r="A5" s="70" t="s">
        <v>1220</v>
      </c>
      <c r="B5" s="81" t="s">
        <v>1323</v>
      </c>
      <c r="C5" s="73" t="s">
        <v>876</v>
      </c>
      <c r="D5" s="81" t="s">
        <v>275</v>
      </c>
      <c r="E5" s="81" t="s">
        <v>1448</v>
      </c>
      <c r="F5" s="81" t="s">
        <v>800</v>
      </c>
      <c r="G5" s="81" t="s">
        <v>25</v>
      </c>
      <c r="H5" s="81" t="s">
        <v>1251</v>
      </c>
      <c r="I5" s="81" t="s">
        <v>381</v>
      </c>
      <c r="J5" s="81" t="s">
        <v>1234</v>
      </c>
      <c r="K5" s="81" t="s">
        <v>1093</v>
      </c>
      <c r="L5" s="81" t="s">
        <v>361</v>
      </c>
      <c r="M5" s="81" t="s">
        <v>340</v>
      </c>
      <c r="N5" s="81" t="s">
        <v>794</v>
      </c>
      <c r="O5" s="81" t="s">
        <v>336</v>
      </c>
      <c r="P5" s="81" t="s">
        <v>114</v>
      </c>
      <c r="Q5" s="81" t="s">
        <v>278</v>
      </c>
      <c r="R5" s="81" t="s">
        <v>1286</v>
      </c>
      <c r="S5" s="81" t="s">
        <v>502</v>
      </c>
      <c r="T5" s="874"/>
      <c r="U5" s="874"/>
      <c r="V5" s="874"/>
      <c r="W5" s="874"/>
      <c r="X5" s="874"/>
      <c r="Y5" s="874"/>
      <c r="Z5" s="874"/>
      <c r="AA5" s="874"/>
    </row>
    <row r="6" spans="1:27" ht="30" x14ac:dyDescent="0.25">
      <c r="A6" s="554"/>
      <c r="B6" s="624">
        <v>1</v>
      </c>
      <c r="C6" s="908" t="s">
        <v>258</v>
      </c>
      <c r="D6" s="554" t="s">
        <v>1061</v>
      </c>
      <c r="E6" s="624" t="s">
        <v>28</v>
      </c>
      <c r="F6" s="554"/>
      <c r="G6" s="624"/>
      <c r="H6" s="582">
        <v>0</v>
      </c>
      <c r="I6" s="554"/>
      <c r="J6" s="554" t="s">
        <v>993</v>
      </c>
      <c r="K6" s="582">
        <v>1</v>
      </c>
      <c r="L6" s="624" t="s">
        <v>529</v>
      </c>
      <c r="M6" s="582">
        <v>1</v>
      </c>
      <c r="N6" s="603">
        <v>0</v>
      </c>
      <c r="O6" s="645">
        <f t="shared" ref="O6:O19" si="0">N6</f>
        <v>0</v>
      </c>
      <c r="P6" s="645">
        <f t="shared" ref="P6:Q6" si="1">0</f>
        <v>0</v>
      </c>
      <c r="Q6" s="577">
        <f t="shared" si="1"/>
        <v>0</v>
      </c>
      <c r="R6" s="800">
        <v>0</v>
      </c>
      <c r="S6" s="314">
        <f>S4*H6*K6*M6*(P6+O6*Q6)+R6</f>
        <v>0</v>
      </c>
      <c r="T6" s="874"/>
      <c r="U6" s="874"/>
      <c r="V6" s="874"/>
      <c r="W6" s="874"/>
      <c r="X6" s="874"/>
      <c r="Y6" s="874"/>
      <c r="Z6" s="874"/>
      <c r="AA6" s="874"/>
    </row>
    <row r="7" spans="1:27" x14ac:dyDescent="0.25">
      <c r="A7" s="828"/>
      <c r="B7" s="894">
        <v>2</v>
      </c>
      <c r="C7" s="822" t="s">
        <v>1290</v>
      </c>
      <c r="D7" s="828" t="s">
        <v>1204</v>
      </c>
      <c r="E7" s="894" t="s">
        <v>144</v>
      </c>
      <c r="F7" s="828" t="s">
        <v>1123</v>
      </c>
      <c r="G7" s="894" t="s">
        <v>144</v>
      </c>
      <c r="H7" s="488">
        <v>1</v>
      </c>
      <c r="I7" s="828"/>
      <c r="J7" s="828" t="s">
        <v>993</v>
      </c>
      <c r="K7" s="488">
        <v>1</v>
      </c>
      <c r="L7" s="894" t="s">
        <v>529</v>
      </c>
      <c r="M7" s="488">
        <v>1</v>
      </c>
      <c r="N7" s="507">
        <v>0</v>
      </c>
      <c r="O7" s="7">
        <f t="shared" si="0"/>
        <v>0</v>
      </c>
      <c r="P7" s="7">
        <f>IF(O7&lt;=0,0,0.19)</f>
        <v>0</v>
      </c>
      <c r="Q7" s="846">
        <f>IF(O7&lt;=0,0,IF(O7&lt;=0.1,4.52,IF(O7&lt;=0.3,4.26,IF(O7&lt;=0.5,4.21,4.08))))</f>
        <v>0</v>
      </c>
      <c r="R7" s="196">
        <v>0</v>
      </c>
      <c r="S7" s="232">
        <f>S4*H7*K7*M7*(P7+O7*Q7)+R7</f>
        <v>0</v>
      </c>
      <c r="T7" s="874"/>
      <c r="U7" s="874"/>
      <c r="V7" s="874"/>
      <c r="W7" s="874"/>
      <c r="X7" s="874"/>
      <c r="Y7" s="874"/>
      <c r="Z7" s="874"/>
      <c r="AA7" s="874"/>
    </row>
    <row r="8" spans="1:27" x14ac:dyDescent="0.25">
      <c r="A8" s="828"/>
      <c r="B8" s="894">
        <v>3</v>
      </c>
      <c r="C8" s="822" t="s">
        <v>1290</v>
      </c>
      <c r="D8" s="828" t="s">
        <v>103</v>
      </c>
      <c r="E8" s="894" t="s">
        <v>144</v>
      </c>
      <c r="F8" s="828"/>
      <c r="G8" s="894"/>
      <c r="H8" s="488">
        <v>0</v>
      </c>
      <c r="I8" s="828"/>
      <c r="J8" s="828" t="s">
        <v>993</v>
      </c>
      <c r="K8" s="488">
        <v>1</v>
      </c>
      <c r="L8" s="894" t="s">
        <v>529</v>
      </c>
      <c r="M8" s="488">
        <v>1</v>
      </c>
      <c r="N8" s="507">
        <v>0</v>
      </c>
      <c r="O8" s="7">
        <f t="shared" si="0"/>
        <v>0</v>
      </c>
      <c r="P8" s="7">
        <f t="shared" ref="P8:Q8" si="2">0</f>
        <v>0</v>
      </c>
      <c r="Q8" s="846">
        <f t="shared" si="2"/>
        <v>0</v>
      </c>
      <c r="R8" s="196">
        <v>0</v>
      </c>
      <c r="S8" s="232">
        <f>S4*H8*K8*M8*(P8+O8*Q8)+R8</f>
        <v>0</v>
      </c>
      <c r="T8" s="874"/>
      <c r="U8" s="874"/>
      <c r="V8" s="874"/>
      <c r="W8" s="874"/>
      <c r="X8" s="874"/>
      <c r="Y8" s="874"/>
      <c r="Z8" s="874"/>
      <c r="AA8" s="874"/>
    </row>
    <row r="9" spans="1:27" x14ac:dyDescent="0.25">
      <c r="A9" s="828"/>
      <c r="B9" s="894">
        <v>4</v>
      </c>
      <c r="C9" s="822" t="s">
        <v>142</v>
      </c>
      <c r="D9" s="828" t="s">
        <v>1204</v>
      </c>
      <c r="E9" s="894" t="s">
        <v>144</v>
      </c>
      <c r="F9" s="828" t="s">
        <v>1123</v>
      </c>
      <c r="G9" s="894" t="s">
        <v>144</v>
      </c>
      <c r="H9" s="488">
        <v>1</v>
      </c>
      <c r="I9" s="828"/>
      <c r="J9" s="828" t="s">
        <v>993</v>
      </c>
      <c r="K9" s="488">
        <v>1</v>
      </c>
      <c r="L9" s="894" t="s">
        <v>529</v>
      </c>
      <c r="M9" s="488">
        <v>1</v>
      </c>
      <c r="N9" s="507">
        <v>0</v>
      </c>
      <c r="O9" s="7">
        <f t="shared" si="0"/>
        <v>0</v>
      </c>
      <c r="P9" s="7">
        <f>IF(O9&lt;=0,0,0.19)</f>
        <v>0</v>
      </c>
      <c r="Q9" s="846">
        <f>IF(O9&lt;=0,0,IF(O9&lt;=0.1,4.52,IF(O9&lt;=0.3,4.26,IF(O9&lt;=0.5,4.21,4.08))))</f>
        <v>0</v>
      </c>
      <c r="R9" s="196">
        <v>0</v>
      </c>
      <c r="S9" s="232">
        <f>S4*H9*K9*M9*(P9+O9*Q9)+R9</f>
        <v>0</v>
      </c>
      <c r="T9" s="874"/>
      <c r="U9" s="874"/>
      <c r="V9" s="874"/>
      <c r="W9" s="874"/>
      <c r="X9" s="874"/>
      <c r="Y9" s="874"/>
      <c r="Z9" s="874"/>
      <c r="AA9" s="874"/>
    </row>
    <row r="10" spans="1:27" x14ac:dyDescent="0.25">
      <c r="A10" s="828"/>
      <c r="B10" s="894">
        <v>5</v>
      </c>
      <c r="C10" s="822" t="s">
        <v>95</v>
      </c>
      <c r="D10" s="828" t="s">
        <v>630</v>
      </c>
      <c r="E10" s="894" t="s">
        <v>144</v>
      </c>
      <c r="F10" s="828" t="s">
        <v>630</v>
      </c>
      <c r="G10" s="894" t="s">
        <v>144</v>
      </c>
      <c r="H10" s="488">
        <v>1</v>
      </c>
      <c r="I10" s="828"/>
      <c r="J10" s="828" t="s">
        <v>993</v>
      </c>
      <c r="K10" s="488">
        <v>1</v>
      </c>
      <c r="L10" s="894" t="s">
        <v>529</v>
      </c>
      <c r="M10" s="488">
        <v>1</v>
      </c>
      <c r="N10" s="507">
        <v>0</v>
      </c>
      <c r="O10" s="7">
        <f t="shared" si="0"/>
        <v>0</v>
      </c>
      <c r="P10" s="7">
        <f>IF(O10&lt;=0,0,0.1)</f>
        <v>0</v>
      </c>
      <c r="Q10" s="846">
        <f>IF(O10&lt;=0,0,IF(O10&lt;=0.1,4.28,IF(O10&lt;=0.3,4.09,IF(O10&lt;=0.5,4.06,4.02))))</f>
        <v>0</v>
      </c>
      <c r="R10" s="196">
        <v>0</v>
      </c>
      <c r="S10" s="232">
        <f>S4*H10*K10*M10*(P10+O10*Q10)+R10</f>
        <v>0</v>
      </c>
      <c r="T10" s="874"/>
      <c r="U10" s="874"/>
      <c r="V10" s="874"/>
      <c r="W10" s="874"/>
      <c r="X10" s="874"/>
      <c r="Y10" s="874"/>
      <c r="Z10" s="874"/>
      <c r="AA10" s="874"/>
    </row>
    <row r="11" spans="1:27" x14ac:dyDescent="0.25">
      <c r="A11" s="828"/>
      <c r="B11" s="894">
        <v>6</v>
      </c>
      <c r="C11" s="822" t="s">
        <v>193</v>
      </c>
      <c r="D11" s="828" t="s">
        <v>759</v>
      </c>
      <c r="E11" s="894" t="s">
        <v>144</v>
      </c>
      <c r="F11" s="828" t="s">
        <v>33</v>
      </c>
      <c r="G11" s="894" t="s">
        <v>144</v>
      </c>
      <c r="H11" s="488">
        <v>1</v>
      </c>
      <c r="I11" s="828"/>
      <c r="J11" s="828" t="s">
        <v>993</v>
      </c>
      <c r="K11" s="488">
        <v>1</v>
      </c>
      <c r="L11" s="894" t="s">
        <v>529</v>
      </c>
      <c r="M11" s="488">
        <v>1</v>
      </c>
      <c r="N11" s="507">
        <v>0</v>
      </c>
      <c r="O11" s="7">
        <f t="shared" si="0"/>
        <v>0</v>
      </c>
      <c r="P11" s="7">
        <f>IF(O11&lt;=0,0,0.14)</f>
        <v>0</v>
      </c>
      <c r="Q11" s="846">
        <f>IF(O11&lt;=0,0,IF(O11&lt;=0.1,4.8,IF(O11&lt;=0.3,4.6,IF(O11&lt;=0.5,4.56,4.53))))</f>
        <v>0</v>
      </c>
      <c r="R11" s="196">
        <v>0</v>
      </c>
      <c r="S11" s="232">
        <f>S4*H11*K11*M11*(P11+O11*Q11)+R11</f>
        <v>0</v>
      </c>
      <c r="T11" s="874"/>
      <c r="U11" s="874"/>
      <c r="V11" s="874"/>
      <c r="W11" s="874"/>
      <c r="X11" s="874"/>
      <c r="Y11" s="874"/>
      <c r="Z11" s="874"/>
      <c r="AA11" s="874"/>
    </row>
    <row r="12" spans="1:27" x14ac:dyDescent="0.25">
      <c r="A12" s="828"/>
      <c r="B12" s="894">
        <v>7</v>
      </c>
      <c r="C12" s="822" t="s">
        <v>1285</v>
      </c>
      <c r="D12" s="828" t="s">
        <v>730</v>
      </c>
      <c r="E12" s="894" t="s">
        <v>1258</v>
      </c>
      <c r="F12" s="828"/>
      <c r="G12" s="894"/>
      <c r="H12" s="488">
        <v>0</v>
      </c>
      <c r="I12" s="828"/>
      <c r="J12" s="828" t="s">
        <v>993</v>
      </c>
      <c r="K12" s="488">
        <v>1</v>
      </c>
      <c r="L12" s="894" t="s">
        <v>529</v>
      </c>
      <c r="M12" s="488">
        <v>1</v>
      </c>
      <c r="N12" s="507">
        <v>0</v>
      </c>
      <c r="O12" s="7">
        <f t="shared" si="0"/>
        <v>0</v>
      </c>
      <c r="P12" s="7">
        <f t="shared" ref="P12:Q12" si="3">0</f>
        <v>0</v>
      </c>
      <c r="Q12" s="846">
        <f t="shared" si="3"/>
        <v>0</v>
      </c>
      <c r="R12" s="196">
        <v>0</v>
      </c>
      <c r="S12" s="232">
        <f>S4*H12*K12*M12*(P12+O12*Q12)+R12</f>
        <v>0</v>
      </c>
      <c r="T12" s="874"/>
      <c r="U12" s="874"/>
      <c r="V12" s="874"/>
      <c r="W12" s="874"/>
      <c r="X12" s="874"/>
      <c r="Y12" s="874"/>
      <c r="Z12" s="874"/>
      <c r="AA12" s="874"/>
    </row>
    <row r="13" spans="1:27" ht="30" x14ac:dyDescent="0.25">
      <c r="A13" s="828"/>
      <c r="B13" s="894">
        <v>8</v>
      </c>
      <c r="C13" s="822" t="s">
        <v>491</v>
      </c>
      <c r="D13" s="828" t="s">
        <v>157</v>
      </c>
      <c r="E13" s="894" t="s">
        <v>144</v>
      </c>
      <c r="F13" s="828" t="s">
        <v>515</v>
      </c>
      <c r="G13" s="894" t="s">
        <v>144</v>
      </c>
      <c r="H13" s="488">
        <v>1</v>
      </c>
      <c r="I13" s="828"/>
      <c r="J13" s="828" t="s">
        <v>993</v>
      </c>
      <c r="K13" s="488">
        <v>1</v>
      </c>
      <c r="L13" s="894" t="s">
        <v>529</v>
      </c>
      <c r="M13" s="488">
        <v>1</v>
      </c>
      <c r="N13" s="507">
        <v>0</v>
      </c>
      <c r="O13" s="7">
        <f t="shared" si="0"/>
        <v>0</v>
      </c>
      <c r="P13" s="7">
        <f>IF(O13&lt;=0,0,0.12)</f>
        <v>0</v>
      </c>
      <c r="Q13" s="846">
        <f>IF(O13&lt;=0,0,IF(O13&lt;=0.1,3.9,IF(O13&lt;=0.3,3.74,IF(O13&lt;=0.5,3.69,3.66))))</f>
        <v>0</v>
      </c>
      <c r="R13" s="196">
        <v>0</v>
      </c>
      <c r="S13" s="232">
        <f>S4*H13*K13*M13*(P13+O13*Q13)+R13</f>
        <v>0</v>
      </c>
      <c r="T13" s="874"/>
      <c r="U13" s="874"/>
      <c r="V13" s="874"/>
      <c r="W13" s="874"/>
      <c r="X13" s="874"/>
      <c r="Y13" s="874"/>
      <c r="Z13" s="874"/>
      <c r="AA13" s="874"/>
    </row>
    <row r="14" spans="1:27" ht="30" x14ac:dyDescent="0.25">
      <c r="A14" s="828"/>
      <c r="B14" s="894">
        <v>9</v>
      </c>
      <c r="C14" s="822" t="s">
        <v>496</v>
      </c>
      <c r="D14" s="828" t="s">
        <v>309</v>
      </c>
      <c r="E14" s="894" t="s">
        <v>418</v>
      </c>
      <c r="F14" s="828"/>
      <c r="G14" s="894"/>
      <c r="H14" s="488">
        <v>0</v>
      </c>
      <c r="I14" s="828"/>
      <c r="J14" s="828" t="s">
        <v>993</v>
      </c>
      <c r="K14" s="488">
        <v>1</v>
      </c>
      <c r="L14" s="894" t="s">
        <v>529</v>
      </c>
      <c r="M14" s="488">
        <v>1</v>
      </c>
      <c r="N14" s="507">
        <v>0</v>
      </c>
      <c r="O14" s="7">
        <f t="shared" si="0"/>
        <v>0</v>
      </c>
      <c r="P14" s="7">
        <f t="shared" ref="P14:Q14" si="4">0</f>
        <v>0</v>
      </c>
      <c r="Q14" s="846">
        <f t="shared" si="4"/>
        <v>0</v>
      </c>
      <c r="R14" s="196">
        <v>0</v>
      </c>
      <c r="S14" s="232">
        <f>S4*H14*K14*M14*(P14+O14*Q14)+R14</f>
        <v>0</v>
      </c>
      <c r="T14" s="874"/>
      <c r="U14" s="874"/>
      <c r="V14" s="874"/>
      <c r="W14" s="874"/>
      <c r="X14" s="874"/>
      <c r="Y14" s="874"/>
      <c r="Z14" s="874"/>
      <c r="AA14" s="874"/>
    </row>
    <row r="15" spans="1:27" x14ac:dyDescent="0.25">
      <c r="A15" s="828"/>
      <c r="B15" s="894">
        <v>10</v>
      </c>
      <c r="C15" s="822" t="s">
        <v>138</v>
      </c>
      <c r="D15" s="828" t="s">
        <v>11</v>
      </c>
      <c r="E15" s="894" t="s">
        <v>460</v>
      </c>
      <c r="F15" s="828" t="s">
        <v>222</v>
      </c>
      <c r="G15" s="894" t="s">
        <v>1106</v>
      </c>
      <c r="H15" s="488">
        <v>1E-3</v>
      </c>
      <c r="I15" s="828"/>
      <c r="J15" s="828" t="s">
        <v>993</v>
      </c>
      <c r="K15" s="488">
        <v>1</v>
      </c>
      <c r="L15" s="894" t="s">
        <v>529</v>
      </c>
      <c r="M15" s="488">
        <v>1</v>
      </c>
      <c r="N15" s="507">
        <v>0</v>
      </c>
      <c r="O15" s="7">
        <f t="shared" si="0"/>
        <v>0</v>
      </c>
      <c r="P15" s="7">
        <f>IF(O15&lt;=0,0,0.27)</f>
        <v>0</v>
      </c>
      <c r="Q15" s="846">
        <f>IF(O15&lt;=0,0,IF(O15&lt;=0.1,6.13,IF(O15&lt;=0.3,5.75,IF(O15&lt;=0.5,5.68,5.62))))</f>
        <v>0</v>
      </c>
      <c r="R15" s="196">
        <v>0</v>
      </c>
      <c r="S15" s="232">
        <f>S4*H15*K15*M15*(P15+O15*Q15)+R15</f>
        <v>0</v>
      </c>
      <c r="T15" s="874"/>
      <c r="U15" s="874"/>
      <c r="V15" s="874"/>
      <c r="W15" s="874"/>
      <c r="X15" s="874"/>
      <c r="Y15" s="874"/>
      <c r="Z15" s="874"/>
      <c r="AA15" s="874"/>
    </row>
    <row r="16" spans="1:27" x14ac:dyDescent="0.25">
      <c r="A16" s="828"/>
      <c r="B16" s="894">
        <v>11</v>
      </c>
      <c r="C16" s="822" t="s">
        <v>135</v>
      </c>
      <c r="D16" s="828" t="s">
        <v>938</v>
      </c>
      <c r="E16" s="894" t="s">
        <v>1431</v>
      </c>
      <c r="F16" s="828" t="s">
        <v>938</v>
      </c>
      <c r="G16" s="894" t="s">
        <v>144</v>
      </c>
      <c r="H16" s="488">
        <v>1E-3</v>
      </c>
      <c r="I16" s="828"/>
      <c r="J16" s="828" t="s">
        <v>993</v>
      </c>
      <c r="K16" s="488">
        <v>1</v>
      </c>
      <c r="L16" s="894" t="s">
        <v>529</v>
      </c>
      <c r="M16" s="488">
        <v>1</v>
      </c>
      <c r="N16" s="507">
        <v>0</v>
      </c>
      <c r="O16" s="7">
        <f t="shared" si="0"/>
        <v>0</v>
      </c>
      <c r="P16" s="7">
        <f t="shared" ref="P16:P17" si="5">IF(O16&lt;=0,0,0.19)</f>
        <v>0</v>
      </c>
      <c r="Q16" s="846">
        <f t="shared" ref="Q16:Q17" si="6">IF(O16&lt;=0,0,IF(O16&lt;=0.1,3.93,IF(O16&lt;=0.3,3.87,IF(O16&lt;=0.5,3.37,3.29))))</f>
        <v>0</v>
      </c>
      <c r="R16" s="196">
        <v>0</v>
      </c>
      <c r="S16" s="232">
        <f>S4*H16*K16*M16*(P16+O16*Q16)+R16</f>
        <v>0</v>
      </c>
      <c r="T16" s="874"/>
      <c r="U16" s="874"/>
      <c r="V16" s="874"/>
      <c r="W16" s="874"/>
      <c r="X16" s="874"/>
      <c r="Y16" s="874"/>
      <c r="Z16" s="874"/>
      <c r="AA16" s="874"/>
    </row>
    <row r="17" spans="1:27" x14ac:dyDescent="0.25">
      <c r="A17" s="828"/>
      <c r="B17" s="894">
        <v>12</v>
      </c>
      <c r="C17" s="822" t="s">
        <v>444</v>
      </c>
      <c r="D17" s="828" t="s">
        <v>938</v>
      </c>
      <c r="E17" s="894" t="s">
        <v>144</v>
      </c>
      <c r="F17" s="828" t="s">
        <v>938</v>
      </c>
      <c r="G17" s="894" t="s">
        <v>144</v>
      </c>
      <c r="H17" s="488">
        <v>1</v>
      </c>
      <c r="I17" s="828"/>
      <c r="J17" s="828" t="s">
        <v>993</v>
      </c>
      <c r="K17" s="488">
        <v>1</v>
      </c>
      <c r="L17" s="894" t="s">
        <v>529</v>
      </c>
      <c r="M17" s="488">
        <v>1</v>
      </c>
      <c r="N17" s="507">
        <v>0</v>
      </c>
      <c r="O17" s="7">
        <f t="shared" si="0"/>
        <v>0</v>
      </c>
      <c r="P17" s="7">
        <f t="shared" si="5"/>
        <v>0</v>
      </c>
      <c r="Q17" s="846">
        <f t="shared" si="6"/>
        <v>0</v>
      </c>
      <c r="R17" s="196">
        <v>0</v>
      </c>
      <c r="S17" s="232">
        <f>S4*H17*K17*M17*(P17+O17*Q17)+R17</f>
        <v>0</v>
      </c>
      <c r="T17" s="874"/>
      <c r="U17" s="874"/>
      <c r="V17" s="874"/>
      <c r="W17" s="874"/>
      <c r="X17" s="874"/>
      <c r="Y17" s="874"/>
      <c r="Z17" s="874"/>
      <c r="AA17" s="874"/>
    </row>
    <row r="18" spans="1:27" x14ac:dyDescent="0.25">
      <c r="A18" s="828"/>
      <c r="B18" s="894">
        <v>13</v>
      </c>
      <c r="C18" s="822" t="s">
        <v>218</v>
      </c>
      <c r="D18" s="828" t="s">
        <v>1165</v>
      </c>
      <c r="E18" s="894" t="s">
        <v>460</v>
      </c>
      <c r="F18" s="828"/>
      <c r="G18" s="894"/>
      <c r="H18" s="488">
        <v>0</v>
      </c>
      <c r="I18" s="828"/>
      <c r="J18" s="828" t="s">
        <v>993</v>
      </c>
      <c r="K18" s="488">
        <v>1</v>
      </c>
      <c r="L18" s="894" t="s">
        <v>529</v>
      </c>
      <c r="M18" s="488">
        <v>1</v>
      </c>
      <c r="N18" s="507">
        <v>0</v>
      </c>
      <c r="O18" s="7">
        <f t="shared" si="0"/>
        <v>0</v>
      </c>
      <c r="P18" s="7">
        <f t="shared" ref="P18:Q19" si="7">0</f>
        <v>0</v>
      </c>
      <c r="Q18" s="846">
        <f t="shared" si="7"/>
        <v>0</v>
      </c>
      <c r="R18" s="196">
        <v>0</v>
      </c>
      <c r="S18" s="232">
        <f>S4*H18*K18*M18*(P18+O18*Q18)+R18</f>
        <v>0</v>
      </c>
      <c r="T18" s="874"/>
      <c r="U18" s="874"/>
      <c r="V18" s="874"/>
      <c r="W18" s="874"/>
      <c r="X18" s="874"/>
      <c r="Y18" s="874"/>
      <c r="Z18" s="874"/>
      <c r="AA18" s="874"/>
    </row>
    <row r="19" spans="1:27" ht="30" x14ac:dyDescent="0.25">
      <c r="A19" s="828"/>
      <c r="B19" s="894">
        <v>14</v>
      </c>
      <c r="C19" s="822" t="s">
        <v>379</v>
      </c>
      <c r="D19" s="828" t="s">
        <v>209</v>
      </c>
      <c r="E19" s="894" t="s">
        <v>460</v>
      </c>
      <c r="F19" s="828"/>
      <c r="G19" s="894"/>
      <c r="H19" s="488">
        <v>0</v>
      </c>
      <c r="I19" s="828"/>
      <c r="J19" s="828" t="s">
        <v>993</v>
      </c>
      <c r="K19" s="488">
        <v>1</v>
      </c>
      <c r="L19" s="894" t="s">
        <v>529</v>
      </c>
      <c r="M19" s="488">
        <v>1</v>
      </c>
      <c r="N19" s="507">
        <v>0</v>
      </c>
      <c r="O19" s="7">
        <f t="shared" si="0"/>
        <v>0</v>
      </c>
      <c r="P19" s="7">
        <f t="shared" si="7"/>
        <v>0</v>
      </c>
      <c r="Q19" s="846">
        <f t="shared" si="7"/>
        <v>0</v>
      </c>
      <c r="R19" s="196">
        <v>0</v>
      </c>
      <c r="S19" s="232">
        <f>S4*H19*K19*M19*(P19+O19*Q19)+R19</f>
        <v>0</v>
      </c>
      <c r="T19" s="874"/>
      <c r="U19" s="874"/>
      <c r="V19" s="874"/>
      <c r="W19" s="874"/>
      <c r="X19" s="874"/>
      <c r="Y19" s="874"/>
      <c r="Z19" s="874"/>
      <c r="AA19" s="874"/>
    </row>
    <row r="20" spans="1:27" x14ac:dyDescent="0.25">
      <c r="A20" s="485"/>
      <c r="B20" s="557">
        <v>15</v>
      </c>
      <c r="C20" s="837" t="s">
        <v>762</v>
      </c>
      <c r="D20" s="485" t="s">
        <v>1191</v>
      </c>
      <c r="E20" s="557" t="s">
        <v>460</v>
      </c>
      <c r="F20" s="485" t="s">
        <v>588</v>
      </c>
      <c r="G20" s="557" t="s">
        <v>1106</v>
      </c>
      <c r="H20" s="509">
        <v>1E-3</v>
      </c>
      <c r="I20" s="485"/>
      <c r="J20" s="485" t="s">
        <v>993</v>
      </c>
      <c r="K20" s="509">
        <v>1</v>
      </c>
      <c r="L20" s="557" t="s">
        <v>529</v>
      </c>
      <c r="M20" s="509">
        <v>1</v>
      </c>
      <c r="N20" s="531">
        <v>0</v>
      </c>
      <c r="O20" s="580">
        <f>K20*M20*N20</f>
        <v>0</v>
      </c>
      <c r="P20" s="580">
        <f>IF(O20&lt;=0,0,0.13)</f>
        <v>0</v>
      </c>
      <c r="Q20" s="504">
        <f>IF(O20&lt;=0,0,IF(O20&lt;=0.1,4.38,IF(O20&lt;=0.3,4.59,IF(O20&lt;=0.5,4.55,4.52))))</f>
        <v>0</v>
      </c>
      <c r="R20" s="744">
        <v>0</v>
      </c>
      <c r="S20" s="257">
        <f>S4*H20*(P20+O20*Q20)+R20</f>
        <v>0</v>
      </c>
      <c r="T20" s="874"/>
      <c r="U20" s="874"/>
      <c r="V20" s="874"/>
      <c r="W20" s="874"/>
      <c r="X20" s="874"/>
      <c r="Y20" s="874"/>
      <c r="Z20" s="874"/>
      <c r="AA20" s="874"/>
    </row>
    <row r="21" spans="1:27" x14ac:dyDescent="0.25">
      <c r="B21" s="874"/>
      <c r="C21" s="874"/>
      <c r="D21" s="874"/>
      <c r="E21" s="874"/>
      <c r="F21" s="874"/>
      <c r="G21" s="874"/>
      <c r="H21" s="15"/>
      <c r="I21" s="874"/>
      <c r="J21" s="874"/>
      <c r="K21" s="874"/>
      <c r="L21" s="874"/>
      <c r="M21" s="874"/>
      <c r="N21" s="874"/>
      <c r="O21" s="874"/>
      <c r="P21" s="874"/>
      <c r="Q21" s="874"/>
      <c r="R21" s="874"/>
      <c r="S21" s="874"/>
      <c r="T21" s="874"/>
      <c r="U21" s="874"/>
      <c r="V21" s="874"/>
      <c r="W21" s="874"/>
      <c r="X21" s="874"/>
      <c r="Y21" s="874"/>
      <c r="Z21" s="874"/>
      <c r="AA21" s="874"/>
    </row>
    <row r="22" spans="1:27" x14ac:dyDescent="0.25">
      <c r="B22" s="874"/>
      <c r="C22" s="874"/>
      <c r="D22" s="874"/>
      <c r="E22" s="874"/>
      <c r="F22" s="874"/>
      <c r="G22" s="874"/>
      <c r="H22" s="874"/>
      <c r="I22" s="874"/>
      <c r="J22" s="874"/>
      <c r="K22" s="874"/>
      <c r="L22" s="874"/>
      <c r="M22" s="874"/>
      <c r="N22" s="874"/>
      <c r="O22" s="874"/>
      <c r="P22" s="874"/>
      <c r="Q22" s="874"/>
      <c r="R22" s="874"/>
      <c r="S22" s="874"/>
      <c r="T22" s="874"/>
      <c r="U22" s="874"/>
      <c r="V22" s="874"/>
      <c r="W22" s="874"/>
      <c r="X22" s="874"/>
      <c r="Y22" s="874"/>
      <c r="Z22" s="874"/>
      <c r="AA22" s="874"/>
    </row>
    <row r="23" spans="1:27" x14ac:dyDescent="0.25">
      <c r="B23" s="874"/>
      <c r="C23" s="874"/>
      <c r="D23" s="874"/>
      <c r="E23" s="874"/>
      <c r="F23" s="874"/>
      <c r="G23" s="874"/>
      <c r="H23" s="874"/>
      <c r="I23" s="874"/>
      <c r="J23" s="874"/>
      <c r="K23" s="874"/>
      <c r="L23" s="874"/>
      <c r="M23" s="874"/>
      <c r="N23" s="874"/>
      <c r="O23" s="874"/>
      <c r="P23" s="874"/>
      <c r="Q23" s="874"/>
      <c r="R23" s="874"/>
      <c r="S23" s="874"/>
      <c r="T23" s="874"/>
      <c r="U23" s="874"/>
      <c r="V23" s="874"/>
      <c r="W23" s="874"/>
      <c r="X23" s="874"/>
      <c r="Y23" s="874"/>
      <c r="Z23" s="874"/>
      <c r="AA23" s="874"/>
    </row>
  </sheetData>
  <mergeCells count="3">
    <mergeCell ref="A1:S1"/>
    <mergeCell ref="A2:S2"/>
    <mergeCell ref="A3:S3"/>
  </mergeCells>
  <conditionalFormatting sqref="J6:K20">
    <cfRule type="cellIs" dxfId="8" priority="1" stopIfTrue="1" operator="equal">
      <formula>0</formula>
    </cfRule>
  </conditionalFormatting>
  <pageMargins left="1.18" right="0.59" top="0.79" bottom="0.79" header="0.3" footer="0.3"/>
  <pageSetup orientation="landscape" horizontalDpi="6553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7"/>
  </sheetPr>
  <dimension ref="A1:AA10"/>
  <sheetViews>
    <sheetView showZeros="0" topLeftCell="B1" workbookViewId="0">
      <selection activeCell="F7" sqref="F7"/>
    </sheetView>
  </sheetViews>
  <sheetFormatPr defaultColWidth="9.140625" defaultRowHeight="15" x14ac:dyDescent="0.25"/>
  <cols>
    <col min="1" max="1" width="9.140625" style="794" hidden="1" customWidth="1"/>
    <col min="2" max="2" width="4.7109375" style="794" bestFit="1" customWidth="1"/>
    <col min="3" max="3" width="6.7109375" style="794" bestFit="1" customWidth="1"/>
    <col min="4" max="4" width="9.42578125" style="794" hidden="1" customWidth="1"/>
    <col min="5" max="5" width="68.5703125" style="794" customWidth="1"/>
    <col min="6" max="8" width="10.85546875" style="794" customWidth="1"/>
    <col min="9" max="9" width="9.140625" style="794" hidden="1" customWidth="1"/>
    <col min="10" max="10" width="12.85546875" style="794" hidden="1" customWidth="1"/>
    <col min="11" max="11" width="9.140625" style="794" hidden="1" customWidth="1"/>
    <col min="12" max="16384" width="9.140625" style="794"/>
  </cols>
  <sheetData>
    <row r="1" spans="1:27" ht="18.75" x14ac:dyDescent="0.3">
      <c r="B1" s="1081" t="s">
        <v>910</v>
      </c>
      <c r="C1" s="1081"/>
      <c r="D1" s="1081"/>
      <c r="E1" s="1081"/>
      <c r="F1" s="1081"/>
      <c r="G1" s="1081"/>
      <c r="H1" s="1081"/>
      <c r="I1" s="1081"/>
      <c r="J1" s="1081"/>
      <c r="K1" s="1081"/>
    </row>
    <row r="2" spans="1:27" x14ac:dyDescent="0.25">
      <c r="B2" s="1097" t="s">
        <v>991</v>
      </c>
      <c r="C2" s="1097"/>
      <c r="D2" s="1097"/>
      <c r="E2" s="1097"/>
      <c r="F2" s="1097"/>
      <c r="G2" s="1097"/>
      <c r="H2" s="1097"/>
      <c r="I2" s="1097"/>
      <c r="J2" s="1097"/>
      <c r="K2" s="1097"/>
    </row>
    <row r="3" spans="1:27" x14ac:dyDescent="0.25">
      <c r="B3" s="1098" t="s">
        <v>354</v>
      </c>
      <c r="C3" s="1098"/>
      <c r="D3" s="1098"/>
      <c r="E3" s="1098"/>
      <c r="F3" s="1098"/>
      <c r="G3" s="1098"/>
      <c r="H3" s="1098"/>
      <c r="I3" s="1098"/>
      <c r="J3" s="1098"/>
      <c r="K3" s="1098"/>
    </row>
    <row r="4" spans="1:27" ht="21" customHeight="1" x14ac:dyDescent="0.25">
      <c r="B4" s="288" t="s">
        <v>1323</v>
      </c>
      <c r="C4" s="288" t="s">
        <v>686</v>
      </c>
      <c r="D4" s="288"/>
      <c r="E4" s="288" t="s">
        <v>952</v>
      </c>
      <c r="F4" s="288" t="s">
        <v>1301</v>
      </c>
      <c r="G4" s="288" t="s">
        <v>1446</v>
      </c>
      <c r="H4" s="288" t="s">
        <v>1313</v>
      </c>
      <c r="I4" s="288" t="s">
        <v>860</v>
      </c>
      <c r="J4" s="288" t="s">
        <v>965</v>
      </c>
      <c r="K4" s="288" t="s">
        <v>1192</v>
      </c>
      <c r="L4" s="874"/>
      <c r="M4" s="874"/>
      <c r="N4" s="874"/>
      <c r="O4" s="874"/>
      <c r="P4" s="874"/>
      <c r="Q4" s="874"/>
      <c r="R4" s="874"/>
      <c r="S4" s="874"/>
      <c r="T4" s="874"/>
      <c r="U4" s="874"/>
      <c r="V4" s="874"/>
      <c r="W4" s="874"/>
      <c r="X4" s="874"/>
      <c r="Y4" s="874"/>
      <c r="Z4" s="874"/>
      <c r="AA4" s="874"/>
    </row>
    <row r="5" spans="1:27" x14ac:dyDescent="0.25">
      <c r="A5" s="61"/>
      <c r="B5" s="180">
        <v>1</v>
      </c>
      <c r="C5" s="522" t="s">
        <v>591</v>
      </c>
      <c r="D5" s="155"/>
      <c r="E5" s="155" t="s">
        <v>21</v>
      </c>
      <c r="F5" s="180" t="s">
        <v>239</v>
      </c>
      <c r="G5" s="412">
        <v>228618</v>
      </c>
      <c r="H5" s="368">
        <v>228618</v>
      </c>
      <c r="I5" s="811">
        <v>1</v>
      </c>
      <c r="J5" s="818">
        <f t="shared" ref="J5:J8" si="0">H5*I5</f>
        <v>228618</v>
      </c>
      <c r="K5" s="818">
        <f t="shared" ref="K5:K8" si="1">H5</f>
        <v>228618</v>
      </c>
      <c r="L5" s="874"/>
      <c r="M5" s="874"/>
      <c r="N5" s="874"/>
      <c r="O5" s="874"/>
      <c r="P5" s="874"/>
      <c r="Q5" s="874"/>
      <c r="R5" s="874"/>
      <c r="S5" s="874"/>
      <c r="T5" s="874"/>
      <c r="U5" s="874"/>
      <c r="V5" s="874"/>
      <c r="W5" s="874"/>
      <c r="X5" s="874"/>
      <c r="Y5" s="874"/>
      <c r="Z5" s="874"/>
      <c r="AA5" s="874"/>
    </row>
    <row r="6" spans="1:27" x14ac:dyDescent="0.25">
      <c r="A6" s="366"/>
      <c r="B6" s="469">
        <v>2</v>
      </c>
      <c r="C6" s="436" t="s">
        <v>1103</v>
      </c>
      <c r="D6" s="448"/>
      <c r="E6" s="448" t="s">
        <v>388</v>
      </c>
      <c r="F6" s="469" t="s">
        <v>239</v>
      </c>
      <c r="G6" s="710">
        <v>246908</v>
      </c>
      <c r="H6" s="273">
        <v>246908</v>
      </c>
      <c r="I6" s="209">
        <v>1</v>
      </c>
      <c r="J6" s="745">
        <f t="shared" si="0"/>
        <v>246908</v>
      </c>
      <c r="K6" s="745">
        <f t="shared" si="1"/>
        <v>246908</v>
      </c>
      <c r="L6" s="874"/>
      <c r="M6" s="874"/>
      <c r="N6" s="874"/>
      <c r="O6" s="874"/>
      <c r="P6" s="874"/>
      <c r="Q6" s="874"/>
      <c r="R6" s="874"/>
      <c r="S6" s="874"/>
      <c r="T6" s="874"/>
      <c r="U6" s="874"/>
      <c r="V6" s="874"/>
      <c r="W6" s="874"/>
      <c r="X6" s="874"/>
      <c r="Y6" s="874"/>
      <c r="Z6" s="874"/>
      <c r="AA6" s="874"/>
    </row>
    <row r="7" spans="1:27" x14ac:dyDescent="0.25">
      <c r="A7" s="366"/>
      <c r="B7" s="469">
        <v>3</v>
      </c>
      <c r="C7" s="436" t="s">
        <v>1055</v>
      </c>
      <c r="D7" s="448"/>
      <c r="E7" s="448" t="s">
        <v>695</v>
      </c>
      <c r="F7" s="469" t="s">
        <v>239</v>
      </c>
      <c r="G7" s="710">
        <v>270000</v>
      </c>
      <c r="H7" s="273">
        <v>270000</v>
      </c>
      <c r="I7" s="209">
        <v>1</v>
      </c>
      <c r="J7" s="745">
        <f t="shared" si="0"/>
        <v>270000</v>
      </c>
      <c r="K7" s="745">
        <f t="shared" si="1"/>
        <v>270000</v>
      </c>
      <c r="L7" s="874"/>
      <c r="M7" s="874"/>
      <c r="N7" s="874"/>
      <c r="O7" s="874"/>
      <c r="P7" s="874"/>
      <c r="Q7" s="874"/>
      <c r="R7" s="874"/>
      <c r="S7" s="874"/>
      <c r="T7" s="874"/>
      <c r="U7" s="874"/>
      <c r="V7" s="874"/>
      <c r="W7" s="874"/>
      <c r="X7" s="874"/>
      <c r="Y7" s="874"/>
      <c r="Z7" s="874"/>
      <c r="AA7" s="874"/>
    </row>
    <row r="8" spans="1:27" x14ac:dyDescent="0.25">
      <c r="A8" s="899"/>
      <c r="B8" s="113">
        <v>4</v>
      </c>
      <c r="C8" s="456" t="s">
        <v>1295</v>
      </c>
      <c r="D8" s="82"/>
      <c r="E8" s="82" t="s">
        <v>1147</v>
      </c>
      <c r="F8" s="113" t="s">
        <v>239</v>
      </c>
      <c r="G8" s="356">
        <v>293092</v>
      </c>
      <c r="H8" s="299">
        <v>293092</v>
      </c>
      <c r="I8" s="760">
        <v>1</v>
      </c>
      <c r="J8" s="767">
        <f t="shared" si="0"/>
        <v>293092</v>
      </c>
      <c r="K8" s="767">
        <f t="shared" si="1"/>
        <v>293092</v>
      </c>
      <c r="L8" s="874"/>
      <c r="M8" s="874"/>
      <c r="N8" s="874"/>
      <c r="O8" s="874"/>
      <c r="P8" s="874"/>
      <c r="Q8" s="874"/>
      <c r="R8" s="874"/>
      <c r="S8" s="874"/>
      <c r="T8" s="874"/>
      <c r="U8" s="874"/>
      <c r="V8" s="874"/>
      <c r="W8" s="874"/>
      <c r="X8" s="874"/>
      <c r="Y8" s="874"/>
      <c r="Z8" s="874"/>
      <c r="AA8" s="874"/>
    </row>
    <row r="9" spans="1:27" x14ac:dyDescent="0.25">
      <c r="B9" s="874"/>
      <c r="C9" s="874"/>
      <c r="D9" s="874"/>
      <c r="E9" s="874"/>
      <c r="F9" s="874"/>
      <c r="G9" s="874"/>
      <c r="H9" s="874"/>
      <c r="I9" s="874"/>
      <c r="J9" s="874"/>
      <c r="K9" s="874"/>
      <c r="L9" s="874"/>
      <c r="M9" s="874"/>
      <c r="N9" s="874"/>
      <c r="O9" s="874"/>
      <c r="P9" s="874"/>
      <c r="Q9" s="874"/>
      <c r="R9" s="874"/>
      <c r="S9" s="874"/>
      <c r="T9" s="874"/>
      <c r="U9" s="874"/>
      <c r="V9" s="874"/>
      <c r="W9" s="874"/>
      <c r="X9" s="874"/>
      <c r="Y9" s="874"/>
      <c r="Z9" s="874"/>
      <c r="AA9" s="874"/>
    </row>
    <row r="10" spans="1:27" x14ac:dyDescent="0.25">
      <c r="B10" s="874"/>
      <c r="C10" s="874"/>
      <c r="D10" s="874"/>
      <c r="E10" s="874"/>
      <c r="F10" s="874"/>
      <c r="G10" s="874"/>
      <c r="H10" s="874"/>
      <c r="I10" s="874"/>
      <c r="J10" s="874"/>
      <c r="K10" s="874"/>
      <c r="L10" s="874"/>
      <c r="M10" s="874"/>
      <c r="N10" s="874"/>
      <c r="O10" s="874"/>
      <c r="P10" s="874"/>
      <c r="Q10" s="874"/>
      <c r="R10" s="874"/>
      <c r="S10" s="874"/>
      <c r="T10" s="874"/>
      <c r="U10" s="874"/>
      <c r="V10" s="874"/>
      <c r="W10" s="874"/>
      <c r="X10" s="874"/>
      <c r="Y10" s="874"/>
      <c r="Z10" s="874"/>
      <c r="AA10" s="874"/>
    </row>
  </sheetData>
  <mergeCells count="3">
    <mergeCell ref="B1:K1"/>
    <mergeCell ref="B2:K2"/>
    <mergeCell ref="B3:K3"/>
  </mergeCells>
  <conditionalFormatting sqref="G5:H8">
    <cfRule type="cellIs" dxfId="7" priority="2" stopIfTrue="1" operator="equal">
      <formula>0</formula>
    </cfRule>
  </conditionalFormatting>
  <conditionalFormatting sqref="I5:I9">
    <cfRule type="cellIs" dxfId="6" priority="1" stopIfTrue="1" operator="equal">
      <formula>1</formula>
    </cfRule>
  </conditionalFormatting>
  <pageMargins left="1.56" right="0.75" top="0.79" bottom="0.79" header="0.3" footer="0.3"/>
  <pageSetup paperSize="9" orientation="landscape" useFirstPageNumber="1" r:id="rId1"/>
  <headerFooter>
    <oddFooter>&amp;CTrang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48</vt:i4>
      </vt:variant>
      <vt:variant>
        <vt:lpstr>Named Ranges</vt:lpstr>
      </vt:variant>
      <vt:variant>
        <vt:i4>32</vt:i4>
      </vt:variant>
    </vt:vector>
  </HeadingPairs>
  <TitlesOfParts>
    <vt:vector size="80" baseType="lpstr">
      <vt:lpstr>Tiên lượng</vt:lpstr>
      <vt:lpstr>Giá VL</vt:lpstr>
      <vt:lpstr>THVL</vt:lpstr>
      <vt:lpstr>Cước ô tô</vt:lpstr>
      <vt:lpstr>Cước ô tô mới</vt:lpstr>
      <vt:lpstr>CauHinh_0</vt:lpstr>
      <vt:lpstr>Cước sông</vt:lpstr>
      <vt:lpstr>Cước TC</vt:lpstr>
      <vt:lpstr>Giá NC</vt:lpstr>
      <vt:lpstr>THNC</vt:lpstr>
      <vt:lpstr>Tính giá NC</vt:lpstr>
      <vt:lpstr>Giá Máy</vt:lpstr>
      <vt:lpstr>THM</vt:lpstr>
      <vt:lpstr>Bù giá CM</vt:lpstr>
      <vt:lpstr>Tính giá CM</vt:lpstr>
      <vt:lpstr>THNL</vt:lpstr>
      <vt:lpstr>THTL</vt:lpstr>
      <vt:lpstr>THKPHM</vt:lpstr>
      <vt:lpstr>THKP_TT16</vt:lpstr>
      <vt:lpstr>Chiết tính</vt:lpstr>
      <vt:lpstr>ĐGTH</vt:lpstr>
      <vt:lpstr>TỔNG MỨC ĐẦU TƯ</vt:lpstr>
      <vt:lpstr>Tổng hợp VT</vt:lpstr>
      <vt:lpstr>Tổng hợp VT công trình</vt:lpstr>
      <vt:lpstr>GGTXD</vt:lpstr>
      <vt:lpstr>PTVT</vt:lpstr>
      <vt:lpstr>THDGDT</vt:lpstr>
      <vt:lpstr>THCPXD</vt:lpstr>
      <vt:lpstr>THCPTB</vt:lpstr>
      <vt:lpstr>HM chung</vt:lpstr>
      <vt:lpstr>Bìa ngoài</vt:lpstr>
      <vt:lpstr>Bìa trong</vt:lpstr>
      <vt:lpstr>Thuyết minh</vt:lpstr>
      <vt:lpstr>Thông tin</vt:lpstr>
      <vt:lpstr>Nội suy</vt:lpstr>
      <vt:lpstr>Hệ số</vt:lpstr>
      <vt:lpstr>Chiết tính rút gọn</vt:lpstr>
      <vt:lpstr>ĐGTH rút gọn</vt:lpstr>
      <vt:lpstr>Giá vữa</vt:lpstr>
      <vt:lpstr>Trượt giá</vt:lpstr>
      <vt:lpstr>Tra định mức</vt:lpstr>
      <vt:lpstr>QT_03a_ND254</vt:lpstr>
      <vt:lpstr>QT_PL08b</vt:lpstr>
      <vt:lpstr>QT_PL03a</vt:lpstr>
      <vt:lpstr>QT_PL03b</vt:lpstr>
      <vt:lpstr>QT_PL04</vt:lpstr>
      <vt:lpstr>QT_PL05</vt:lpstr>
      <vt:lpstr>QT_PL06</vt:lpstr>
      <vt:lpstr>capCongTrinh</vt:lpstr>
      <vt:lpstr>loaiCongTrinh</vt:lpstr>
      <vt:lpstr>loaiThietKe</vt:lpstr>
      <vt:lpstr>'Bù giá CM'!Print_Area</vt:lpstr>
      <vt:lpstr>GGTXD!Print_Area</vt:lpstr>
      <vt:lpstr>THKP_TT16!Print_Area</vt:lpstr>
      <vt:lpstr>THM!Print_Area</vt:lpstr>
      <vt:lpstr>THNL!Print_Area</vt:lpstr>
      <vt:lpstr>THTL!Print_Area</vt:lpstr>
      <vt:lpstr>'Tiên lượng'!Print_Area</vt:lpstr>
      <vt:lpstr>'Chiết tính'!Print_Titles</vt:lpstr>
      <vt:lpstr>'Chiết tính rút gọn'!Print_Titles</vt:lpstr>
      <vt:lpstr>'Cước ô tô'!Print_Titles</vt:lpstr>
      <vt:lpstr>'Cước sông'!Print_Titles</vt:lpstr>
      <vt:lpstr>ĐGTH!Print_Titles</vt:lpstr>
      <vt:lpstr>'Giá VL'!Print_Titles</vt:lpstr>
      <vt:lpstr>PTVT!Print_Titles</vt:lpstr>
      <vt:lpstr>THCPTB!Print_Titles</vt:lpstr>
      <vt:lpstr>THCPXD!Print_Titles</vt:lpstr>
      <vt:lpstr>THDGDT!Print_Titles</vt:lpstr>
      <vt:lpstr>THM!Print_Titles</vt:lpstr>
      <vt:lpstr>THNC!Print_Titles</vt:lpstr>
      <vt:lpstr>THVL!Print_Titles</vt:lpstr>
      <vt:lpstr>'Tiên lượng'!Print_Titles</vt:lpstr>
      <vt:lpstr>StartInfo_CongTrinh</vt:lpstr>
      <vt:lpstr>StartInfo_HangMuc</vt:lpstr>
      <vt:lpstr>StartInfo_MauTHKPHM</vt:lpstr>
      <vt:lpstr>StartInfo_SoLieuTinhGiaNC</vt:lpstr>
      <vt:lpstr>THTL.TongKL0</vt:lpstr>
      <vt:lpstr>THTL.TTCLGiaHT0</vt:lpstr>
      <vt:lpstr>THTL.TTGiaGoc0</vt:lpstr>
      <vt:lpstr>THTL.TTGiaHT0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DONG PC</dc:creator>
  <cp:lastModifiedBy>Laptop TLnew</cp:lastModifiedBy>
  <cp:lastPrinted>2025-12-11T00:47:17Z</cp:lastPrinted>
  <dcterms:created xsi:type="dcterms:W3CDTF">2026-01-19T23:12:31Z</dcterms:created>
  <dcterms:modified xsi:type="dcterms:W3CDTF">2026-01-19T23:12:32Z</dcterms:modified>
</cp:coreProperties>
</file>